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Giả định" sheetId="1" state="visible" r:id="rId3"/>
    <sheet name="Kế hoạch 12 tháng" sheetId="2" state="visible" r:id="rId4"/>
    <sheet name="Hòa vốn" sheetId="3" state="visible" r:id="rId5"/>
    <sheet name="Hướng dẫn"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<sst xmlns="http://schemas.openxmlformats.org/spreadsheetml/2006/main" count="150" uniqueCount="139">
  <si>
    <t xml:space="preserve">MẪU KẾ HOẠCH KINH DOANH ĐẠI LÝ TRÀ 12 THÁNG – GIẢ ĐỊNH</t>
  </si>
  <si>
    <t xml:space="preserve">Số điền sẵn là ví dụ giả định của "Cửa hàng trà Minh An", đặt ra để minh họa. Thay bằng số của cửa hàng mình; chỉ gõ vào ô nền vàng.</t>
  </si>
  <si>
    <t xml:space="preserve">1. Thông tin chung</t>
  </si>
  <si>
    <t xml:space="preserve">Tên cửa hàng / đại lý</t>
  </si>
  <si>
    <t xml:space="preserve">Cửa hàng trà Minh An (ví dụ giả định)</t>
  </si>
  <si>
    <t xml:space="preserve">Người lập</t>
  </si>
  <si>
    <t xml:space="preserve">……</t>
  </si>
  <si>
    <t xml:space="preserve">Ngày lập</t>
  </si>
  <si>
    <t xml:space="preserve">Năm bắt đầu</t>
  </si>
  <si>
    <t xml:space="preserve">Tháng bắt đầu kế hoạch (1–12)</t>
  </si>
  <si>
    <t xml:space="preserve">Tháng mở bán hoặc tháng bắt đầu năm kế hoạch</t>
  </si>
  <si>
    <t xml:space="preserve">Kịch bản đang xem (Xấu / Cơ sở / Tốt)</t>
  </si>
  <si>
    <t xml:space="preserve">Cơ sở</t>
  </si>
  <si>
    <t xml:space="preserve">Chọn trong danh sách; hệ số ở mục 7</t>
  </si>
  <si>
    <t xml:space="preserve">2. Vốn ban đầu (đồng)</t>
  </si>
  <si>
    <t xml:space="preserve">Cọc thuê mặt bằng</t>
  </si>
  <si>
    <t xml:space="preserve">Sửa sang, kệ tủ, biển hiệu</t>
  </si>
  <si>
    <t xml:space="preserve">Thiết bị: cân, máy hàn túi, máy in hóa đơn, phần mềm</t>
  </si>
  <si>
    <t xml:space="preserve">Lô hàng nhập đầu</t>
  </si>
  <si>
    <t xml:space="preserve">Là tồn kho đầu tháng 1 trong sheet Kế hoạch 12 tháng</t>
  </si>
  <si>
    <t xml:space="preserve">Giấy tờ, khai trương</t>
  </si>
  <si>
    <t xml:space="preserve">Quỹ dự phòng (tiền mặt để lại, chưa chi)</t>
  </si>
  <si>
    <t xml:space="preserve">Là tiền mặt đầu kỳ trong phần dòng tiền</t>
  </si>
  <si>
    <t xml:space="preserve">Tổng vốn ban đầu</t>
  </si>
  <si>
    <t xml:space="preserve">3. Doanh số và tỷ lệ</t>
  </si>
  <si>
    <t xml:space="preserve">Doanh số một tháng bình thường (hệ số mùa vụ = 1,0), đồng</t>
  </si>
  <si>
    <t xml:space="preserve">Ước từ số khách/ngày × giá trị đơn bình quân × 30 ngày</t>
  </si>
  <si>
    <t xml:space="preserve">% lãi gộp bình quân trên doanh số</t>
  </si>
  <si>
    <t xml:space="preserve">Lấy từ bảng tính giá bán: (giá bán − giá vốn) ÷ giá bán, bình quân các mã</t>
  </si>
  <si>
    <t xml:space="preserve">% chi phí biến đổi khác trên doanh số</t>
  </si>
  <si>
    <t xml:space="preserve">Túi xách, giao hàng cho khách, phí sàn, phí thanh toán</t>
  </si>
  <si>
    <t xml:space="preserve">% thuế tính trên doanh số</t>
  </si>
  <si>
    <t xml:space="preserve">Hỏi cơ quan thuế theo mức doanh thu năm của hộ/doanh nghiệp</t>
  </si>
  <si>
    <t xml:space="preserve">Số ngày tồn kho mục tiêu</t>
  </si>
  <si>
    <t xml:space="preserve">Hàng cần có sẵn cuối tháng, tính theo giá vốn bán của tháng sau</t>
  </si>
  <si>
    <t xml:space="preserve">4. Chi phí cố định mỗi tháng (đồng)</t>
  </si>
  <si>
    <t xml:space="preserve">Thuê mặt bằng</t>
  </si>
  <si>
    <t xml:space="preserve">Nhân công</t>
  </si>
  <si>
    <t xml:space="preserve">Điện, nước, internet</t>
  </si>
  <si>
    <t xml:space="preserve">Phần mềm bán hàng, điện thoại</t>
  </si>
  <si>
    <t xml:space="preserve">Quảng cáo, khuyến mại</t>
  </si>
  <si>
    <t xml:space="preserve">Chi khác</t>
  </si>
  <si>
    <t xml:space="preserve">Tổng chi phí cố định/tháng</t>
  </si>
  <si>
    <t xml:space="preserve">5. Hệ số mùa vụ theo tháng dương lịch (tháng bình thường = 1,0)</t>
  </si>
  <si>
    <t xml:space="preserve">Tháng</t>
  </si>
  <si>
    <t xml:space="preserve">Hệ số</t>
  </si>
  <si>
    <t xml:space="preserve">Ghi chú</t>
  </si>
  <si>
    <t xml:space="preserve">Tháng 1</t>
  </si>
  <si>
    <t xml:space="preserve">Cao điểm quà Tết khi Tết rơi đầu tháng 2 (Tết Đinh Mùi: mùng 1 là 06/02/2027)</t>
  </si>
  <si>
    <t xml:space="preserve">Tháng 2</t>
  </si>
  <si>
    <t xml:space="preserve">Phần còn lại trước Tết rồi chững sau Tết</t>
  </si>
  <si>
    <t xml:space="preserve">Tháng 3</t>
  </si>
  <si>
    <t xml:space="preserve">Thấp điểm sau Tết</t>
  </si>
  <si>
    <t xml:space="preserve">Tháng 4</t>
  </si>
  <si>
    <t xml:space="preserve">Tháng 5</t>
  </si>
  <si>
    <t xml:space="preserve">Tháng 6</t>
  </si>
  <si>
    <t xml:space="preserve">Thấp điểm giữa năm</t>
  </si>
  <si>
    <t xml:space="preserve">Tháng 7</t>
  </si>
  <si>
    <t xml:space="preserve">Tháng 8</t>
  </si>
  <si>
    <t xml:space="preserve">Bắt đầu nhận đặt quà Trung thu</t>
  </si>
  <si>
    <t xml:space="preserve">Tháng 9</t>
  </si>
  <si>
    <t xml:space="preserve">Trung thu (rằm tháng Tám âm lịch, kiểm lịch từng năm)</t>
  </si>
  <si>
    <t xml:space="preserve">Tháng 10</t>
  </si>
  <si>
    <t xml:space="preserve">Tháng 11</t>
  </si>
  <si>
    <t xml:space="preserve">Quà 20/11</t>
  </si>
  <si>
    <t xml:space="preserve">Tháng 12</t>
  </si>
  <si>
    <t xml:space="preserve">Quà cuối năm, đơn quà Tết doanh nghiệp</t>
  </si>
  <si>
    <t xml:space="preserve">Bình quân hệ số 12 tháng</t>
  </si>
  <si>
    <t xml:space="preserve">Trên 1,0 nghĩa là doanh số năm cao hơn 12 tháng bình thường</t>
  </si>
  <si>
    <t xml:space="preserve">6. Hệ số khởi đầu (cửa hàng mới chưa đủ khách quen)</t>
  </si>
  <si>
    <t xml:space="preserve">Tháng thứ 1 của kế hoạch</t>
  </si>
  <si>
    <t xml:space="preserve">Tháng thứ 2 của kế hoạch</t>
  </si>
  <si>
    <t xml:space="preserve">Tháng thứ 3 của kế hoạch</t>
  </si>
  <si>
    <t xml:space="preserve">Từ tháng thứ 4 tính 100%</t>
  </si>
  <si>
    <t xml:space="preserve">7. Hệ số kịch bản (nhân với doanh số)</t>
  </si>
  <si>
    <t xml:space="preserve">Xấu</t>
  </si>
  <si>
    <t xml:space="preserve">Tốt</t>
  </si>
  <si>
    <t xml:space="preserve">Hệ số đang dùng</t>
  </si>
  <si>
    <t xml:space="preserve">Mẫu tham khảo, các bên tự điều chỉnh; không thay tư vấn pháp lý.</t>
  </si>
  <si>
    <t xml:space="preserve">KẾ HOẠCH 12 THÁNG – DOANH SỐ, LÃI LỖ, DÒNG TIỀN (đồng)</t>
  </si>
  <si>
    <t xml:space="preserve">Mọi ô trong sheet này là công thức lấy số từ sheet "Giả định". Không gõ đè; muốn đổi thì sửa ô vàng bên "Giả định".</t>
  </si>
  <si>
    <t xml:space="preserve">Tháng thứ</t>
  </si>
  <si>
    <t xml:space="preserve">Cả năm</t>
  </si>
  <si>
    <t xml:space="preserve">Tháng dương lịch</t>
  </si>
  <si>
    <t xml:space="preserve">Tháng/năm</t>
  </si>
  <si>
    <t xml:space="preserve">Hệ số mùa vụ</t>
  </si>
  <si>
    <t xml:space="preserve">Hệ số khởi đầu</t>
  </si>
  <si>
    <t xml:space="preserve">Doanh số trước kịch bản</t>
  </si>
  <si>
    <t xml:space="preserve">Doanh số</t>
  </si>
  <si>
    <t xml:space="preserve">Giá vốn hàng bán</t>
  </si>
  <si>
    <t xml:space="preserve">Lãi gộp</t>
  </si>
  <si>
    <t xml:space="preserve">Chi phí biến đổi khác</t>
  </si>
  <si>
    <t xml:space="preserve">Thuế tính trên doanh số</t>
  </si>
  <si>
    <t xml:space="preserve">Chi phí cố định</t>
  </si>
  <si>
    <t xml:space="preserve">Lãi/lỗ tháng</t>
  </si>
  <si>
    <t xml:space="preserve">Lãi/lỗ lũy kế</t>
  </si>
  <si>
    <t xml:space="preserve">DÒNG TIỀN</t>
  </si>
  <si>
    <t xml:space="preserve">Tồn kho đầu tháng (giá vốn)</t>
  </si>
  <si>
    <t xml:space="preserve">Tồn kho cuối tháng mục tiêu</t>
  </si>
  <si>
    <t xml:space="preserve">Tiền nhập hàng</t>
  </si>
  <si>
    <t xml:space="preserve">Dòng tiền tháng</t>
  </si>
  <si>
    <t xml:space="preserve">Tiền mặt cuối tháng</t>
  </si>
  <si>
    <t xml:space="preserve">Cảnh báo</t>
  </si>
  <si>
    <t xml:space="preserve">Đã thu đủ vốn ban đầu (tháng thứ)</t>
  </si>
  <si>
    <t xml:space="preserve">Ghi chú: Tồn kho cuối tháng mục tiêu = giá vốn hàng bán của tháng sau × số ngày tồn ÷ 30. Tiền nhập hàng = giá vốn bán trong tháng + tồn cuối − tồn đầu. Tiền mặt cuối tháng bắt đầu từ quỹ dự phòng.</t>
  </si>
  <si>
    <t xml:space="preserve">ĐIỂM HÒA VỐN VÀ THỜI GIAN THU HỒI VỐN</t>
  </si>
  <si>
    <t xml:space="preserve">Toàn bộ là công thức. Hòa vốn tháng: lãi gộp vừa đủ trả chi phí. Thu hồi vốn: tiền mặt tích lũy đủ bằng vốn đã bỏ ra.</t>
  </si>
  <si>
    <t xml:space="preserve">Tỷ lệ góp vào chi phí cố định (% lãi gộp − % biến đổi − % thuế)</t>
  </si>
  <si>
    <t xml:space="preserve">Chi phí cố định/tháng</t>
  </si>
  <si>
    <t xml:space="preserve">Doanh số hòa vốn/tháng</t>
  </si>
  <si>
    <t xml:space="preserve">Doanh số hòa vốn/ngày (30 ngày)</t>
  </si>
  <si>
    <t xml:space="preserve">Doanh số kế hoạch bình quân/tháng</t>
  </si>
  <si>
    <t xml:space="preserve">Biên an toàn (doanh số bình quân cao hơn mức hòa vốn)</t>
  </si>
  <si>
    <t xml:space="preserve">Số tháng có lãi trong 12 tháng</t>
  </si>
  <si>
    <t xml:space="preserve">Lãi/lỗ cả năm</t>
  </si>
  <si>
    <t xml:space="preserve">Tiền mặt thấp nhất trong năm</t>
  </si>
  <si>
    <t xml:space="preserve">Tháng có tiền mặt thấp nhất</t>
  </si>
  <si>
    <t xml:space="preserve">Thu hồi đủ vốn trong 12 tháng?</t>
  </si>
  <si>
    <t xml:space="preserve">Ước tháng thu hồi đủ vốn nếu giữ nhịp năm đầu</t>
  </si>
  <si>
    <t xml:space="preserve">Số tháng tính từ tháng bắt đầu kế hoạch</t>
  </si>
  <si>
    <t xml:space="preserve">SO SÁNH 3 KỊCH BẢN (cả năm)</t>
  </si>
  <si>
    <t xml:space="preserve">Kịch bản</t>
  </si>
  <si>
    <t xml:space="preserve">Doanh số năm</t>
  </si>
  <si>
    <t xml:space="preserve">Doanh số bq/tháng trừ mức hòa vốn</t>
  </si>
  <si>
    <t xml:space="preserve">Lãi/lỗ theo kịch bản = doanh số năm × tỷ lệ góp − 12 tháng chi phí cố định (không tính thay đổi tồn kho).</t>
  </si>
  <si>
    <t xml:space="preserve">HƯỚNG DẪN DÙNG MẪU KẾ HOẠCH KINH DOANH ĐẠI LÝ TRÀ 12 THÁNG</t>
  </si>
  <si>
    <t xml:space="preserve">1. File có 4 sheet: "Giả định" (ô nhập), "Kế hoạch 12 tháng" (doanh số, lãi lỗ, dòng tiền), "Hòa vốn" (doanh số hòa vốn, thời gian thu hồi vốn, 3 kịch bản) và sheet này.</t>
  </si>
  <si>
    <t xml:space="preserve">2. Chỉ gõ vào ô nền vàng ở sheet "Giả định". Ô trắng là công thức; gõ đè sẽ làm sai cả bảng.</t>
  </si>
  <si>
    <t xml:space="preserve">3. Số điền sẵn là ví dụ giả định của "Cửa hàng trà Minh An". Giữ một bản gốc, lưu bản làm việc với tên cửa hàng và ngày lập.</t>
  </si>
  <si>
    <t xml:space="preserve">4. Vốn ban đầu: ghi cả cọc mặt bằng, sửa sang, thiết bị, lô hàng đầu, giấy tờ, và quỹ dự phòng. Quỹ dự phòng là tiền mặt để lại, dùng làm tiền đầu kỳ.</t>
  </si>
  <si>
    <t xml:space="preserve">5. Doanh số tháng bình thường: ước từ số khách mỗi ngày × giá trị đơn bình quân × 30, cộng phần bán sỉ cho quán quen nếu có. Không lấy tháng Tết làm tháng bình thường.</t>
  </si>
  <si>
    <t xml:space="preserve">6. % lãi gộp: lấy bình quân từ bảng tính giá bán từng mã (giá bán − giá vốn) ÷ giá bán. Nhập chiết khấu, giá nhập theo hợp đồng của mình; file không ghi sẵn giá hay chiết khấu của nhà cung cấp nào.</t>
  </si>
  <si>
    <t xml:space="preserve">7. Hệ số mùa vụ: tháng bình thường = 1,0; tháng cao điểm lớn hơn 1, thấp điểm nhỏ hơn 1. Tết âm lịch rơi vào tháng khác nhau mỗi năm, sửa hệ số tháng 1 và tháng 2 theo lịch năm kế hoạch.</t>
  </si>
  <si>
    <t xml:space="preserve">8. Hệ số khởi đầu: cửa hàng mới chưa đủ khách quen, 3 tháng đầu thường chưa đạt doanh số dự kiến.</t>
  </si>
  <si>
    <t xml:space="preserve">9. Kịch bản: chọn Xấu / Cơ sở / Tốt ở ô B10 sheet "Giả định" để xem bảng 12 tháng theo từng kịch bản. Sheet "Hòa vốn" luôn so sánh cả ba.</t>
  </si>
  <si>
    <t xml:space="preserve">10. Tồn kho: cuối mỗi tháng giữ lượng hàng đủ bán số ngày ở ô B26, tính theo tháng sau. Tháng trước mùa cao điểm sẽ phải chi nhiều tiền nhập hàng; dòng "Tiền mặt cuối tháng" âm là dấu hiệu cần thêm vốn hoặc giảm lượng nhập.</t>
  </si>
  <si>
    <t xml:space="preserve">11. Đọc kết quả: "Doanh số hòa vốn/tháng" là mức để lãi gộp vừa đủ chi phí; "Thu hồi đủ vốn" là tháng tiền mặt tích lũy bằng tổng vốn bỏ ra (chưa tính hàng tồn còn lại).</t>
  </si>
  <si>
    <t xml:space="preserve">12. Thuế: nhập tỷ lệ thuế tính trên doanh số nếu có; mức áp dụng tùy doanh thu năm và loại hình, nên hỏi cơ quan thuế quản lý.</t>
  </si>
  <si>
    <t xml:space="preserve">13. Cập nhật mỗi tháng: ghi doanh số thật bên cạnh để so với kế hoạch, sửa giả định khi lệch nhiều.</t>
  </si>
</sst>
</file>

<file path=xl/styles.xml><?xml version="1.0" encoding="utf-8"?>
<styleSheet xmlns="http://schemas.openxmlformats.org/spreadsheetml/2006/main">
  <numFmts count="7">
    <numFmt numFmtId="164" formatCode="General"/>
    <numFmt numFmtId="165" formatCode="0"/>
    <numFmt numFmtId="166" formatCode="#,##0;[RED]\-#,##0"/>
    <numFmt numFmtId="167" formatCode="0.0%"/>
    <numFmt numFmtId="168" formatCode="0.00"/>
    <numFmt numFmtId="169" formatCode="0%"/>
    <numFmt numFmtId="170" formatCode="General"/>
  </numFmts>
  <fonts count="10">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i val="true"/>
      <sz val="11"/>
      <name val="Arial"/>
      <family val="0"/>
      <charset val="1"/>
    </font>
    <font>
      <b val="true"/>
      <sz val="11"/>
      <name val="Arial"/>
      <family val="0"/>
      <charset val="1"/>
    </font>
    <font>
      <sz val="11"/>
      <name val="Arial"/>
      <family val="0"/>
      <charset val="1"/>
    </font>
    <font>
      <i val="true"/>
      <sz val="10"/>
      <color rgb="FF55625A"/>
      <name val="Arial"/>
      <family val="0"/>
      <charset val="1"/>
    </font>
    <font>
      <i val="true"/>
      <sz val="10"/>
      <name val="Arial"/>
      <family val="0"/>
      <charset val="1"/>
    </font>
  </fonts>
  <fills count="5">
    <fill>
      <patternFill patternType="none"/>
    </fill>
    <fill>
      <patternFill patternType="gray125"/>
    </fill>
    <fill>
      <patternFill patternType="solid">
        <fgColor rgb="FFF1F5F1"/>
        <bgColor rgb="FFE3EFE3"/>
      </patternFill>
    </fill>
    <fill>
      <patternFill patternType="solid">
        <fgColor rgb="FFFFF6D5"/>
        <bgColor rgb="FFF1F5F1"/>
      </patternFill>
    </fill>
    <fill>
      <patternFill patternType="solid">
        <fgColor rgb="FFE3EFE3"/>
        <bgColor rgb="FFF1F5F1"/>
      </patternFill>
    </fill>
  </fills>
  <borders count="2">
    <border diagonalUp="false" diagonalDown="false">
      <left/>
      <right/>
      <top/>
      <bottom/>
      <diagonal/>
    </border>
    <border diagonalUp="false" diagonalDown="false">
      <left style="thin">
        <color rgb="FFC9D3C7"/>
      </left>
      <right style="thin">
        <color rgb="FFC9D3C7"/>
      </right>
      <top style="thin">
        <color rgb="FFC9D3C7"/>
      </top>
      <bottom style="thin">
        <color rgb="FFC9D3C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center" vertical="bottom" textRotation="0" wrapText="false" indent="0" shrinkToFit="false"/>
      <protection locked="true" hidden="false"/>
    </xf>
    <xf numFmtId="164" fontId="5" fillId="0" borderId="0" xfId="0" applyFont="true" applyBorder="tru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4" fontId="7" fillId="3" borderId="1" xfId="0" applyFont="true" applyBorder="true" applyAlignment="false" applyProtection="false">
      <alignment horizontal="general" vertical="bottom" textRotation="0" wrapText="false" indent="0" shrinkToFit="false"/>
      <protection locked="true" hidden="false"/>
    </xf>
    <xf numFmtId="165" fontId="7" fillId="3"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6" fontId="7" fillId="3"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6" fontId="6" fillId="0" borderId="1" xfId="0" applyFont="true" applyBorder="true" applyAlignment="false" applyProtection="false">
      <alignment horizontal="general" vertical="bottom" textRotation="0" wrapText="false" indent="0" shrinkToFit="false"/>
      <protection locked="true" hidden="false"/>
    </xf>
    <xf numFmtId="167" fontId="7" fillId="3" borderId="1" xfId="0" applyFont="true" applyBorder="true" applyAlignment="false" applyProtection="false">
      <alignment horizontal="general" vertical="bottom" textRotation="0" wrapText="false" indent="0" shrinkToFit="false"/>
      <protection locked="true" hidden="false"/>
    </xf>
    <xf numFmtId="164" fontId="6" fillId="4"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8" fontId="7" fillId="3"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8" fontId="7" fillId="0" borderId="1" xfId="0" applyFont="true" applyBorder="true" applyAlignment="false" applyProtection="false">
      <alignment horizontal="general" vertical="bottom" textRotation="0" wrapText="false" indent="0" shrinkToFit="false"/>
      <protection locked="true" hidden="false"/>
    </xf>
    <xf numFmtId="169" fontId="7" fillId="3" borderId="1" xfId="0" applyFont="true" applyBorder="true" applyAlignment="false" applyProtection="false">
      <alignment horizontal="general" vertical="bottom" textRotation="0" wrapText="false" indent="0" shrinkToFit="false"/>
      <protection locked="true" hidden="false"/>
    </xf>
    <xf numFmtId="169" fontId="6" fillId="0"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right" vertical="bottom" textRotation="0" wrapText="false" indent="0" shrinkToFit="false"/>
      <protection locked="true" hidden="false"/>
    </xf>
    <xf numFmtId="164" fontId="6" fillId="4" borderId="1" xfId="0" applyFont="true" applyBorder="true" applyAlignment="true" applyProtection="false">
      <alignment horizontal="right" vertical="bottom" textRotation="0" wrapText="false" indent="0" shrinkToFit="false"/>
      <protection locked="true" hidden="false"/>
    </xf>
    <xf numFmtId="170" fontId="7" fillId="0" borderId="1" xfId="0" applyFont="true" applyBorder="true" applyAlignment="true" applyProtection="false">
      <alignment horizontal="right" vertical="bottom" textRotation="0" wrapText="false" indent="0" shrinkToFit="false"/>
      <protection locked="true" hidden="false"/>
    </xf>
    <xf numFmtId="164" fontId="7" fillId="0" borderId="1" xfId="0" applyFont="true" applyBorder="true" applyAlignment="true" applyProtection="false">
      <alignment horizontal="center" vertical="bottom" textRotation="0" wrapText="false" indent="0" shrinkToFit="false"/>
      <protection locked="true" hidden="false"/>
    </xf>
    <xf numFmtId="168" fontId="7" fillId="0" borderId="1" xfId="0" applyFont="true" applyBorder="true" applyAlignment="true" applyProtection="false">
      <alignment horizontal="right" vertical="bottom" textRotation="0" wrapText="false" indent="0" shrinkToFit="false"/>
      <protection locked="true" hidden="false"/>
    </xf>
    <xf numFmtId="169" fontId="7" fillId="0" borderId="1" xfId="0" applyFont="true" applyBorder="true" applyAlignment="true" applyProtection="false">
      <alignment horizontal="right" vertical="bottom" textRotation="0" wrapText="false" indent="0" shrinkToFit="false"/>
      <protection locked="true" hidden="false"/>
    </xf>
    <xf numFmtId="166" fontId="7" fillId="0" borderId="1" xfId="0" applyFont="true" applyBorder="true" applyAlignment="true" applyProtection="false">
      <alignment horizontal="right"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6" fontId="6" fillId="0" borderId="1" xfId="0" applyFont="true" applyBorder="true" applyAlignment="true" applyProtection="false">
      <alignment horizontal="right" vertical="bottom" textRotation="0" wrapText="false" indent="0" shrinkToFit="false"/>
      <protection locked="true" hidden="false"/>
    </xf>
    <xf numFmtId="167" fontId="6" fillId="0" borderId="1" xfId="0" applyFont="true" applyBorder="true" applyAlignment="true" applyProtection="false">
      <alignment horizontal="right" vertical="bottom" textRotation="0" wrapText="false" indent="0" shrinkToFit="false"/>
      <protection locked="true" hidden="false"/>
    </xf>
    <xf numFmtId="165" fontId="6" fillId="0" borderId="1" xfId="0" applyFont="true" applyBorder="true" applyAlignment="true" applyProtection="false">
      <alignment horizontal="right" vertical="bottom" textRotation="0" wrapText="false" indent="0" shrinkToFit="false"/>
      <protection locked="true" hidden="false"/>
    </xf>
    <xf numFmtId="169" fontId="7" fillId="0"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bgColor rgb="FFF8D7D3"/>
        </patternFill>
      </fill>
    </dxf>
    <dxf>
      <font>
        <name val="Arial"/>
        <charset val="1"/>
        <family val="0"/>
        <b val="1"/>
        <color rgb="FF9C1C1C"/>
      </font>
      <fill>
        <patternFill>
          <bgColor rgb="FFF8D7D3"/>
        </patternFill>
      </fill>
    </dxf>
  </dxfs>
  <colors>
    <indexedColors>
      <rgbColor rgb="FF000000"/>
      <rgbColor rgb="FFF1F5F1"/>
      <rgbColor rgb="FFFF0000"/>
      <rgbColor rgb="FF00FF00"/>
      <rgbColor rgb="FF0000FF"/>
      <rgbColor rgb="FFFFFF00"/>
      <rgbColor rgb="FFFF00FF"/>
      <rgbColor rgb="FF00FFFF"/>
      <rgbColor rgb="FF800000"/>
      <rgbColor rgb="FF008000"/>
      <rgbColor rgb="FF000080"/>
      <rgbColor rgb="FF808000"/>
      <rgbColor rgb="FF800080"/>
      <rgbColor rgb="FF008080"/>
      <rgbColor rgb="FFC9D3C7"/>
      <rgbColor rgb="FF808080"/>
      <rgbColor rgb="FF9999FF"/>
      <rgbColor rgb="FF993366"/>
      <rgbColor rgb="FFFFF6D5"/>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3EFE3"/>
      <rgbColor rgb="FFFFFF99"/>
      <rgbColor rgb="FF99CCFF"/>
      <rgbColor rgb="FFFF99CC"/>
      <rgbColor rgb="FFCC99FF"/>
      <rgbColor rgb="FFF8D7D3"/>
      <rgbColor rgb="FF3366FF"/>
      <rgbColor rgb="FF33CCCC"/>
      <rgbColor rgb="FF99CC00"/>
      <rgbColor rgb="FFFFCC00"/>
      <rgbColor rgb="FFFF9900"/>
      <rgbColor rgb="FFFF6600"/>
      <rgbColor rgb="FF55625A"/>
      <rgbColor rgb="FF969696"/>
      <rgbColor rgb="FF003366"/>
      <rgbColor rgb="FF339966"/>
      <rgbColor rgb="FF003300"/>
      <rgbColor rgb="FF333300"/>
      <rgbColor rgb="FF9C1C1C"/>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6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2" min="2" style="0" width="22"/>
    <col collapsed="false" customWidth="true" hidden="false" outlineLevel="0" max="3" min="3" style="0" width="62"/>
  </cols>
  <sheetData>
    <row r="1" customFormat="false" ht="17.35" hidden="false" customHeight="false" outlineLevel="0" collapsed="false">
      <c r="A1" s="1" t="s">
        <v>0</v>
      </c>
      <c r="B1" s="1"/>
      <c r="C1" s="1"/>
    </row>
    <row r="2" customFormat="false" ht="31.5" hidden="false" customHeight="true" outlineLevel="0" collapsed="false">
      <c r="A2" s="2" t="s">
        <v>1</v>
      </c>
      <c r="B2" s="2"/>
      <c r="C2" s="2"/>
    </row>
    <row r="4" customFormat="false" ht="15" hidden="false" customHeight="false" outlineLevel="0" collapsed="false">
      <c r="A4" s="3" t="s">
        <v>2</v>
      </c>
      <c r="B4" s="4"/>
      <c r="C4" s="4"/>
    </row>
    <row r="5" customFormat="false" ht="15" hidden="false" customHeight="false" outlineLevel="0" collapsed="false">
      <c r="A5" s="5" t="s">
        <v>3</v>
      </c>
      <c r="B5" s="6" t="s">
        <v>4</v>
      </c>
    </row>
    <row r="6" customFormat="false" ht="15" hidden="false" customHeight="false" outlineLevel="0" collapsed="false">
      <c r="A6" s="5" t="s">
        <v>5</v>
      </c>
      <c r="B6" s="6" t="s">
        <v>6</v>
      </c>
    </row>
    <row r="7" customFormat="false" ht="15" hidden="false" customHeight="false" outlineLevel="0" collapsed="false">
      <c r="A7" s="5" t="s">
        <v>7</v>
      </c>
      <c r="B7" s="6" t="s">
        <v>6</v>
      </c>
    </row>
    <row r="8" customFormat="false" ht="15" hidden="false" customHeight="false" outlineLevel="0" collapsed="false">
      <c r="A8" s="5" t="s">
        <v>8</v>
      </c>
      <c r="B8" s="7" t="n">
        <v>2026</v>
      </c>
    </row>
    <row r="9" customFormat="false" ht="15" hidden="false" customHeight="false" outlineLevel="0" collapsed="false">
      <c r="A9" s="5" t="s">
        <v>9</v>
      </c>
      <c r="B9" s="7" t="n">
        <v>11</v>
      </c>
      <c r="C9" s="8" t="s">
        <v>10</v>
      </c>
    </row>
    <row r="10" customFormat="false" ht="15" hidden="false" customHeight="false" outlineLevel="0" collapsed="false">
      <c r="A10" s="5" t="s">
        <v>11</v>
      </c>
      <c r="B10" s="6" t="s">
        <v>12</v>
      </c>
      <c r="C10" s="8" t="s">
        <v>13</v>
      </c>
    </row>
    <row r="12" customFormat="false" ht="15" hidden="false" customHeight="false" outlineLevel="0" collapsed="false">
      <c r="A12" s="3" t="s">
        <v>14</v>
      </c>
      <c r="B12" s="4"/>
      <c r="C12" s="4"/>
    </row>
    <row r="13" customFormat="false" ht="15" hidden="false" customHeight="false" outlineLevel="0" collapsed="false">
      <c r="A13" s="5" t="s">
        <v>15</v>
      </c>
      <c r="B13" s="9" t="n">
        <v>10000000</v>
      </c>
    </row>
    <row r="14" customFormat="false" ht="15" hidden="false" customHeight="false" outlineLevel="0" collapsed="false">
      <c r="A14" s="5" t="s">
        <v>16</v>
      </c>
      <c r="B14" s="9" t="n">
        <v>15000000</v>
      </c>
    </row>
    <row r="15" customFormat="false" ht="15" hidden="false" customHeight="false" outlineLevel="0" collapsed="false">
      <c r="A15" s="5" t="s">
        <v>17</v>
      </c>
      <c r="B15" s="9" t="n">
        <v>6000000</v>
      </c>
    </row>
    <row r="16" customFormat="false" ht="15" hidden="false" customHeight="false" outlineLevel="0" collapsed="false">
      <c r="A16" s="5" t="s">
        <v>18</v>
      </c>
      <c r="B16" s="9" t="n">
        <v>30000000</v>
      </c>
      <c r="C16" s="8" t="s">
        <v>19</v>
      </c>
    </row>
    <row r="17" customFormat="false" ht="15" hidden="false" customHeight="false" outlineLevel="0" collapsed="false">
      <c r="A17" s="5" t="s">
        <v>20</v>
      </c>
      <c r="B17" s="9" t="n">
        <v>4000000</v>
      </c>
    </row>
    <row r="18" customFormat="false" ht="15" hidden="false" customHeight="false" outlineLevel="0" collapsed="false">
      <c r="A18" s="5" t="s">
        <v>21</v>
      </c>
      <c r="B18" s="9" t="n">
        <v>15000000</v>
      </c>
      <c r="C18" s="8" t="s">
        <v>22</v>
      </c>
    </row>
    <row r="19" customFormat="false" ht="15" hidden="false" customHeight="false" outlineLevel="0" collapsed="false">
      <c r="A19" s="10" t="s">
        <v>23</v>
      </c>
      <c r="B19" s="11" t="n">
        <f aca="false">SUM(B13:B18)</f>
        <v>80000000</v>
      </c>
    </row>
    <row r="21" customFormat="false" ht="15" hidden="false" customHeight="false" outlineLevel="0" collapsed="false">
      <c r="A21" s="3" t="s">
        <v>24</v>
      </c>
      <c r="B21" s="4"/>
      <c r="C21" s="4"/>
    </row>
    <row r="22" customFormat="false" ht="15" hidden="false" customHeight="false" outlineLevel="0" collapsed="false">
      <c r="A22" s="5" t="s">
        <v>25</v>
      </c>
      <c r="B22" s="9" t="n">
        <v>60000000</v>
      </c>
      <c r="C22" s="8" t="s">
        <v>26</v>
      </c>
    </row>
    <row r="23" customFormat="false" ht="15" hidden="false" customHeight="false" outlineLevel="0" collapsed="false">
      <c r="A23" s="5" t="s">
        <v>27</v>
      </c>
      <c r="B23" s="12" t="n">
        <v>0.3</v>
      </c>
      <c r="C23" s="8" t="s">
        <v>28</v>
      </c>
    </row>
    <row r="24" customFormat="false" ht="15" hidden="false" customHeight="false" outlineLevel="0" collapsed="false">
      <c r="A24" s="5" t="s">
        <v>29</v>
      </c>
      <c r="B24" s="12" t="n">
        <v>0.03</v>
      </c>
      <c r="C24" s="8" t="s">
        <v>30</v>
      </c>
    </row>
    <row r="25" customFormat="false" ht="15" hidden="false" customHeight="false" outlineLevel="0" collapsed="false">
      <c r="A25" s="5" t="s">
        <v>31</v>
      </c>
      <c r="B25" s="12" t="n">
        <v>0</v>
      </c>
      <c r="C25" s="8" t="s">
        <v>32</v>
      </c>
    </row>
    <row r="26" customFormat="false" ht="15" hidden="false" customHeight="false" outlineLevel="0" collapsed="false">
      <c r="A26" s="5" t="s">
        <v>33</v>
      </c>
      <c r="B26" s="7" t="n">
        <v>30</v>
      </c>
      <c r="C26" s="8" t="s">
        <v>34</v>
      </c>
    </row>
    <row r="28" customFormat="false" ht="15" hidden="false" customHeight="false" outlineLevel="0" collapsed="false">
      <c r="A28" s="3" t="s">
        <v>35</v>
      </c>
      <c r="B28" s="4"/>
      <c r="C28" s="4"/>
    </row>
    <row r="29" customFormat="false" ht="15" hidden="false" customHeight="false" outlineLevel="0" collapsed="false">
      <c r="A29" s="5" t="s">
        <v>36</v>
      </c>
      <c r="B29" s="9" t="n">
        <v>5000000</v>
      </c>
    </row>
    <row r="30" customFormat="false" ht="15" hidden="false" customHeight="false" outlineLevel="0" collapsed="false">
      <c r="A30" s="5" t="s">
        <v>37</v>
      </c>
      <c r="B30" s="9" t="n">
        <v>3500000</v>
      </c>
    </row>
    <row r="31" customFormat="false" ht="15" hidden="false" customHeight="false" outlineLevel="0" collapsed="false">
      <c r="A31" s="5" t="s">
        <v>38</v>
      </c>
      <c r="B31" s="9" t="n">
        <v>1000000</v>
      </c>
    </row>
    <row r="32" customFormat="false" ht="15" hidden="false" customHeight="false" outlineLevel="0" collapsed="false">
      <c r="A32" s="5" t="s">
        <v>39</v>
      </c>
      <c r="B32" s="9" t="n">
        <v>300000</v>
      </c>
    </row>
    <row r="33" customFormat="false" ht="15" hidden="false" customHeight="false" outlineLevel="0" collapsed="false">
      <c r="A33" s="5" t="s">
        <v>40</v>
      </c>
      <c r="B33" s="9" t="n">
        <v>1500000</v>
      </c>
    </row>
    <row r="34" customFormat="false" ht="15" hidden="false" customHeight="false" outlineLevel="0" collapsed="false">
      <c r="A34" s="5" t="s">
        <v>41</v>
      </c>
      <c r="B34" s="9" t="n">
        <v>700000</v>
      </c>
    </row>
    <row r="35" customFormat="false" ht="15" hidden="false" customHeight="false" outlineLevel="0" collapsed="false">
      <c r="A35" s="10" t="s">
        <v>42</v>
      </c>
      <c r="B35" s="11" t="n">
        <f aca="false">SUM(B29:B34)</f>
        <v>12000000</v>
      </c>
    </row>
    <row r="37" customFormat="false" ht="15" hidden="false" customHeight="false" outlineLevel="0" collapsed="false">
      <c r="A37" s="3" t="s">
        <v>43</v>
      </c>
      <c r="B37" s="4"/>
      <c r="C37" s="4"/>
    </row>
    <row r="38" customFormat="false" ht="15" hidden="false" customHeight="false" outlineLevel="0" collapsed="false">
      <c r="A38" s="13" t="s">
        <v>44</v>
      </c>
      <c r="B38" s="13" t="s">
        <v>45</v>
      </c>
      <c r="C38" s="13" t="s">
        <v>46</v>
      </c>
    </row>
    <row r="39" customFormat="false" ht="15" hidden="false" customHeight="false" outlineLevel="0" collapsed="false">
      <c r="A39" s="14" t="s">
        <v>47</v>
      </c>
      <c r="B39" s="15" t="n">
        <v>2.2</v>
      </c>
      <c r="C39" s="8" t="s">
        <v>48</v>
      </c>
    </row>
    <row r="40" customFormat="false" ht="15" hidden="false" customHeight="false" outlineLevel="0" collapsed="false">
      <c r="A40" s="14" t="s">
        <v>49</v>
      </c>
      <c r="B40" s="15" t="n">
        <v>1</v>
      </c>
      <c r="C40" s="8" t="s">
        <v>50</v>
      </c>
    </row>
    <row r="41" customFormat="false" ht="15" hidden="false" customHeight="false" outlineLevel="0" collapsed="false">
      <c r="A41" s="14" t="s">
        <v>51</v>
      </c>
      <c r="B41" s="15" t="n">
        <v>0.7</v>
      </c>
      <c r="C41" s="8" t="s">
        <v>52</v>
      </c>
    </row>
    <row r="42" customFormat="false" ht="15" hidden="false" customHeight="false" outlineLevel="0" collapsed="false">
      <c r="A42" s="14" t="s">
        <v>53</v>
      </c>
      <c r="B42" s="15" t="n">
        <v>0.8</v>
      </c>
      <c r="C42" s="8"/>
    </row>
    <row r="43" customFormat="false" ht="15" hidden="false" customHeight="false" outlineLevel="0" collapsed="false">
      <c r="A43" s="14" t="s">
        <v>54</v>
      </c>
      <c r="B43" s="15" t="n">
        <v>0.8</v>
      </c>
      <c r="C43" s="8"/>
    </row>
    <row r="44" customFormat="false" ht="15" hidden="false" customHeight="false" outlineLevel="0" collapsed="false">
      <c r="A44" s="14" t="s">
        <v>55</v>
      </c>
      <c r="B44" s="15" t="n">
        <v>0.7</v>
      </c>
      <c r="C44" s="8" t="s">
        <v>56</v>
      </c>
    </row>
    <row r="45" customFormat="false" ht="15" hidden="false" customHeight="false" outlineLevel="0" collapsed="false">
      <c r="A45" s="14" t="s">
        <v>57</v>
      </c>
      <c r="B45" s="15" t="n">
        <v>0.8</v>
      </c>
      <c r="C45" s="8"/>
    </row>
    <row r="46" customFormat="false" ht="15" hidden="false" customHeight="false" outlineLevel="0" collapsed="false">
      <c r="A46" s="14" t="s">
        <v>58</v>
      </c>
      <c r="B46" s="15" t="n">
        <v>0.9</v>
      </c>
      <c r="C46" s="8" t="s">
        <v>59</v>
      </c>
    </row>
    <row r="47" customFormat="false" ht="15" hidden="false" customHeight="false" outlineLevel="0" collapsed="false">
      <c r="A47" s="14" t="s">
        <v>60</v>
      </c>
      <c r="B47" s="15" t="n">
        <v>1.4</v>
      </c>
      <c r="C47" s="8" t="s">
        <v>61</v>
      </c>
    </row>
    <row r="48" customFormat="false" ht="15" hidden="false" customHeight="false" outlineLevel="0" collapsed="false">
      <c r="A48" s="14" t="s">
        <v>62</v>
      </c>
      <c r="B48" s="15" t="n">
        <v>1</v>
      </c>
      <c r="C48" s="8"/>
    </row>
    <row r="49" customFormat="false" ht="15" hidden="false" customHeight="false" outlineLevel="0" collapsed="false">
      <c r="A49" s="14" t="s">
        <v>63</v>
      </c>
      <c r="B49" s="15" t="n">
        <v>1</v>
      </c>
      <c r="C49" s="8" t="s">
        <v>64</v>
      </c>
    </row>
    <row r="50" customFormat="false" ht="15" hidden="false" customHeight="false" outlineLevel="0" collapsed="false">
      <c r="A50" s="14" t="s">
        <v>65</v>
      </c>
      <c r="B50" s="15" t="n">
        <v>1.5</v>
      </c>
      <c r="C50" s="8" t="s">
        <v>66</v>
      </c>
    </row>
    <row r="51" customFormat="false" ht="15" hidden="false" customHeight="false" outlineLevel="0" collapsed="false">
      <c r="A51" s="16" t="s">
        <v>67</v>
      </c>
      <c r="B51" s="17" t="n">
        <f aca="false">AVERAGE(B39:B50)</f>
        <v>1.06666666666667</v>
      </c>
      <c r="C51" s="8" t="s">
        <v>68</v>
      </c>
    </row>
    <row r="53" customFormat="false" ht="15" hidden="false" customHeight="false" outlineLevel="0" collapsed="false">
      <c r="A53" s="3" t="s">
        <v>69</v>
      </c>
      <c r="B53" s="4"/>
      <c r="C53" s="4"/>
    </row>
    <row r="54" customFormat="false" ht="15" hidden="false" customHeight="false" outlineLevel="0" collapsed="false">
      <c r="A54" s="5" t="s">
        <v>70</v>
      </c>
      <c r="B54" s="18" t="n">
        <v>0.6</v>
      </c>
    </row>
    <row r="55" customFormat="false" ht="15" hidden="false" customHeight="false" outlineLevel="0" collapsed="false">
      <c r="A55" s="5" t="s">
        <v>71</v>
      </c>
      <c r="B55" s="18" t="n">
        <v>0.8</v>
      </c>
    </row>
    <row r="56" customFormat="false" ht="15" hidden="false" customHeight="false" outlineLevel="0" collapsed="false">
      <c r="A56" s="5" t="s">
        <v>72</v>
      </c>
      <c r="B56" s="18" t="n">
        <v>0.9</v>
      </c>
      <c r="C56" s="8" t="s">
        <v>73</v>
      </c>
    </row>
    <row r="58" customFormat="false" ht="15" hidden="false" customHeight="false" outlineLevel="0" collapsed="false">
      <c r="A58" s="3" t="s">
        <v>74</v>
      </c>
      <c r="B58" s="4"/>
      <c r="C58" s="4"/>
    </row>
    <row r="59" customFormat="false" ht="15" hidden="false" customHeight="false" outlineLevel="0" collapsed="false">
      <c r="A59" s="5" t="s">
        <v>75</v>
      </c>
      <c r="B59" s="18" t="n">
        <v>0.75</v>
      </c>
    </row>
    <row r="60" customFormat="false" ht="15" hidden="false" customHeight="false" outlineLevel="0" collapsed="false">
      <c r="A60" s="5" t="s">
        <v>12</v>
      </c>
      <c r="B60" s="18" t="n">
        <v>1</v>
      </c>
    </row>
    <row r="61" customFormat="false" ht="15" hidden="false" customHeight="false" outlineLevel="0" collapsed="false">
      <c r="A61" s="5" t="s">
        <v>76</v>
      </c>
      <c r="B61" s="18" t="n">
        <v>1.2</v>
      </c>
    </row>
    <row r="62" customFormat="false" ht="15" hidden="false" customHeight="false" outlineLevel="0" collapsed="false">
      <c r="A62" s="10" t="s">
        <v>77</v>
      </c>
      <c r="B62" s="19" t="n">
        <f aca="false">INDEX(B59:B61,MATCH(B10,A59:A61,0))</f>
        <v>1</v>
      </c>
    </row>
    <row r="64" customFormat="false" ht="15" hidden="false" customHeight="false" outlineLevel="0" collapsed="false">
      <c r="A64" s="20" t="s">
        <v>78</v>
      </c>
    </row>
  </sheetData>
  <mergeCells count="2">
    <mergeCell ref="A1:C1"/>
    <mergeCell ref="A2:C2"/>
  </mergeCells>
  <dataValidations count="4">
    <dataValidation allowBlank="false" errorStyle="stop" operator="between" showDropDown="false" showErrorMessage="false" showInputMessage="false" sqref="B10" type="list">
      <formula1>"Xấu,Cơ sở,Tốt"</formula1>
      <formula2>0</formula2>
    </dataValidation>
    <dataValidation allowBlank="false" error="Nhập tháng từ 1 đến 12" errorStyle="stop" operator="between" showDropDown="false" showErrorMessage="true" showInputMessage="false" sqref="B9" type="whole">
      <formula1>1</formula1>
      <formula2>12</formula2>
    </dataValidation>
    <dataValidation allowBlank="false" error="Nhập tỷ lệ từ 0% đến 90%" errorStyle="stop" operator="between" showDropDown="false" showErrorMessage="true" showInputMessage="false" sqref="B23:B25 B54:B56" type="decimal">
      <formula1>0</formula1>
      <formula2>0.9</formula2>
    </dataValidation>
    <dataValidation allowBlank="false" error="Hệ số từ 0 đến 5" errorStyle="stop" operator="between" showDropDown="false" showErrorMessage="true" showInputMessage="false" sqref="B39:B50" type="decimal">
      <formula1>0</formula1>
      <formula2>5</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14" min="2" style="0" width="14"/>
  </cols>
  <sheetData>
    <row r="1" customFormat="false" ht="17.35" hidden="false" customHeight="false" outlineLevel="0" collapsed="false">
      <c r="A1" s="21" t="s">
        <v>79</v>
      </c>
    </row>
    <row r="2" customFormat="false" ht="15" hidden="false" customHeight="false" outlineLevel="0" collapsed="false">
      <c r="A2" s="22" t="s">
        <v>80</v>
      </c>
    </row>
    <row r="3" customFormat="false" ht="15" hidden="false" customHeight="false" outlineLevel="0" collapsed="false">
      <c r="A3" s="10" t="str">
        <f aca="false">"Kịch bản: "&amp;'Giả định'!B10&amp;" – hệ số "&amp;TEXT('Giả định'!B62,"0%")</f>
        <v>Kịch bản: Cơ sở – hệ số 100%</v>
      </c>
    </row>
    <row r="4" customFormat="false" ht="15" hidden="false" customHeight="false" outlineLevel="0" collapsed="false">
      <c r="A4" s="13" t="s">
        <v>81</v>
      </c>
      <c r="B4" s="23" t="n">
        <v>1</v>
      </c>
      <c r="C4" s="23" t="n">
        <v>2</v>
      </c>
      <c r="D4" s="23" t="n">
        <v>3</v>
      </c>
      <c r="E4" s="23" t="n">
        <v>4</v>
      </c>
      <c r="F4" s="23" t="n">
        <v>5</v>
      </c>
      <c r="G4" s="23" t="n">
        <v>6</v>
      </c>
      <c r="H4" s="23" t="n">
        <v>7</v>
      </c>
      <c r="I4" s="23" t="n">
        <v>8</v>
      </c>
      <c r="J4" s="23" t="n">
        <v>9</v>
      </c>
      <c r="K4" s="23" t="n">
        <v>10</v>
      </c>
      <c r="L4" s="23" t="n">
        <v>11</v>
      </c>
      <c r="M4" s="23" t="n">
        <v>12</v>
      </c>
      <c r="N4" s="24" t="s">
        <v>82</v>
      </c>
    </row>
    <row r="5" customFormat="false" ht="15" hidden="false" customHeight="false" outlineLevel="0" collapsed="false">
      <c r="A5" s="14" t="s">
        <v>83</v>
      </c>
      <c r="B5" s="25" t="n">
        <f aca="false">MOD('Giả định'!$B$9+B$4-2,12)+1</f>
        <v>11</v>
      </c>
      <c r="C5" s="25" t="n">
        <f aca="false">MOD('Giả định'!$B$9+C$4-2,12)+1</f>
        <v>12</v>
      </c>
      <c r="D5" s="25" t="n">
        <f aca="false">MOD('Giả định'!$B$9+D$4-2,12)+1</f>
        <v>1</v>
      </c>
      <c r="E5" s="25" t="n">
        <f aca="false">MOD('Giả định'!$B$9+E$4-2,12)+1</f>
        <v>2</v>
      </c>
      <c r="F5" s="25" t="n">
        <f aca="false">MOD('Giả định'!$B$9+F$4-2,12)+1</f>
        <v>3</v>
      </c>
      <c r="G5" s="25" t="n">
        <f aca="false">MOD('Giả định'!$B$9+G$4-2,12)+1</f>
        <v>4</v>
      </c>
      <c r="H5" s="25" t="n">
        <f aca="false">MOD('Giả định'!$B$9+H$4-2,12)+1</f>
        <v>5</v>
      </c>
      <c r="I5" s="25" t="n">
        <f aca="false">MOD('Giả định'!$B$9+I$4-2,12)+1</f>
        <v>6</v>
      </c>
      <c r="J5" s="25" t="n">
        <f aca="false">MOD('Giả định'!$B$9+J$4-2,12)+1</f>
        <v>7</v>
      </c>
      <c r="K5" s="25" t="n">
        <f aca="false">MOD('Giả định'!$B$9+K$4-2,12)+1</f>
        <v>8</v>
      </c>
      <c r="L5" s="25" t="n">
        <f aca="false">MOD('Giả định'!$B$9+L$4-2,12)+1</f>
        <v>9</v>
      </c>
      <c r="M5" s="25" t="n">
        <f aca="false">MOD('Giả định'!$B$9+M$4-2,12)+1</f>
        <v>10</v>
      </c>
      <c r="N5" s="25"/>
    </row>
    <row r="6" customFormat="false" ht="15" hidden="false" customHeight="false" outlineLevel="0" collapsed="false">
      <c r="A6" s="14" t="s">
        <v>84</v>
      </c>
      <c r="B6" s="26" t="str">
        <f aca="false">"T"&amp;B5&amp;"/"&amp;('Giả định'!$B$8+INT(('Giả định'!$B$9+B$4-2)/12))</f>
        <v>T11/2026</v>
      </c>
      <c r="C6" s="26" t="str">
        <f aca="false">"T"&amp;C5&amp;"/"&amp;('Giả định'!$B$8+INT(('Giả định'!$B$9+C$4-2)/12))</f>
        <v>T12/2026</v>
      </c>
      <c r="D6" s="26" t="str">
        <f aca="false">"T"&amp;D5&amp;"/"&amp;('Giả định'!$B$8+INT(('Giả định'!$B$9+D$4-2)/12))</f>
        <v>T1/2027</v>
      </c>
      <c r="E6" s="26" t="str">
        <f aca="false">"T"&amp;E5&amp;"/"&amp;('Giả định'!$B$8+INT(('Giả định'!$B$9+E$4-2)/12))</f>
        <v>T2/2027</v>
      </c>
      <c r="F6" s="26" t="str">
        <f aca="false">"T"&amp;F5&amp;"/"&amp;('Giả định'!$B$8+INT(('Giả định'!$B$9+F$4-2)/12))</f>
        <v>T3/2027</v>
      </c>
      <c r="G6" s="26" t="str">
        <f aca="false">"T"&amp;G5&amp;"/"&amp;('Giả định'!$B$8+INT(('Giả định'!$B$9+G$4-2)/12))</f>
        <v>T4/2027</v>
      </c>
      <c r="H6" s="26" t="str">
        <f aca="false">"T"&amp;H5&amp;"/"&amp;('Giả định'!$B$8+INT(('Giả định'!$B$9+H$4-2)/12))</f>
        <v>T5/2027</v>
      </c>
      <c r="I6" s="26" t="str">
        <f aca="false">"T"&amp;I5&amp;"/"&amp;('Giả định'!$B$8+INT(('Giả định'!$B$9+I$4-2)/12))</f>
        <v>T6/2027</v>
      </c>
      <c r="J6" s="26" t="str">
        <f aca="false">"T"&amp;J5&amp;"/"&amp;('Giả định'!$B$8+INT(('Giả định'!$B$9+J$4-2)/12))</f>
        <v>T7/2027</v>
      </c>
      <c r="K6" s="26" t="str">
        <f aca="false">"T"&amp;K5&amp;"/"&amp;('Giả định'!$B$8+INT(('Giả định'!$B$9+K$4-2)/12))</f>
        <v>T8/2027</v>
      </c>
      <c r="L6" s="26" t="str">
        <f aca="false">"T"&amp;L5&amp;"/"&amp;('Giả định'!$B$8+INT(('Giả định'!$B$9+L$4-2)/12))</f>
        <v>T9/2027</v>
      </c>
      <c r="M6" s="26" t="str">
        <f aca="false">"T"&amp;M5&amp;"/"&amp;('Giả định'!$B$8+INT(('Giả định'!$B$9+M$4-2)/12))</f>
        <v>T10/2027</v>
      </c>
      <c r="N6" s="26"/>
    </row>
    <row r="7" customFormat="false" ht="15" hidden="false" customHeight="false" outlineLevel="0" collapsed="false">
      <c r="A7" s="14" t="s">
        <v>85</v>
      </c>
      <c r="B7" s="27" t="n">
        <f aca="false">INDEX('Giả định'!$B$39:$B$50,B5)</f>
        <v>1</v>
      </c>
      <c r="C7" s="27" t="n">
        <f aca="false">INDEX('Giả định'!$B$39:$B$50,C5)</f>
        <v>1.5</v>
      </c>
      <c r="D7" s="27" t="n">
        <f aca="false">INDEX('Giả định'!$B$39:$B$50,D5)</f>
        <v>2.2</v>
      </c>
      <c r="E7" s="27" t="n">
        <f aca="false">INDEX('Giả định'!$B$39:$B$50,E5)</f>
        <v>1</v>
      </c>
      <c r="F7" s="27" t="n">
        <f aca="false">INDEX('Giả định'!$B$39:$B$50,F5)</f>
        <v>0.7</v>
      </c>
      <c r="G7" s="27" t="n">
        <f aca="false">INDEX('Giả định'!$B$39:$B$50,G5)</f>
        <v>0.8</v>
      </c>
      <c r="H7" s="27" t="n">
        <f aca="false">INDEX('Giả định'!$B$39:$B$50,H5)</f>
        <v>0.8</v>
      </c>
      <c r="I7" s="27" t="n">
        <f aca="false">INDEX('Giả định'!$B$39:$B$50,I5)</f>
        <v>0.7</v>
      </c>
      <c r="J7" s="27" t="n">
        <f aca="false">INDEX('Giả định'!$B$39:$B$50,J5)</f>
        <v>0.8</v>
      </c>
      <c r="K7" s="27" t="n">
        <f aca="false">INDEX('Giả định'!$B$39:$B$50,K5)</f>
        <v>0.9</v>
      </c>
      <c r="L7" s="27" t="n">
        <f aca="false">INDEX('Giả định'!$B$39:$B$50,L5)</f>
        <v>1.4</v>
      </c>
      <c r="M7" s="27" t="n">
        <f aca="false">INDEX('Giả định'!$B$39:$B$50,M5)</f>
        <v>1</v>
      </c>
      <c r="N7" s="27"/>
    </row>
    <row r="8" customFormat="false" ht="15" hidden="false" customHeight="false" outlineLevel="0" collapsed="false">
      <c r="A8" s="14" t="s">
        <v>86</v>
      </c>
      <c r="B8" s="28" t="n">
        <f aca="false">IF(B4&lt;=3,INDEX('Giả định'!$B$54:$B$56,B4),1)</f>
        <v>0.6</v>
      </c>
      <c r="C8" s="28" t="n">
        <f aca="false">IF(C4&lt;=3,INDEX('Giả định'!$B$54:$B$56,C4),1)</f>
        <v>0.8</v>
      </c>
      <c r="D8" s="28" t="n">
        <f aca="false">IF(D4&lt;=3,INDEX('Giả định'!$B$54:$B$56,D4),1)</f>
        <v>0.9</v>
      </c>
      <c r="E8" s="28" t="n">
        <f aca="false">IF(E4&lt;=3,INDEX('Giả định'!$B$54:$B$56,E4),1)</f>
        <v>1</v>
      </c>
      <c r="F8" s="28" t="n">
        <f aca="false">IF(F4&lt;=3,INDEX('Giả định'!$B$54:$B$56,F4),1)</f>
        <v>1</v>
      </c>
      <c r="G8" s="28" t="n">
        <f aca="false">IF(G4&lt;=3,INDEX('Giả định'!$B$54:$B$56,G4),1)</f>
        <v>1</v>
      </c>
      <c r="H8" s="28" t="n">
        <f aca="false">IF(H4&lt;=3,INDEX('Giả định'!$B$54:$B$56,H4),1)</f>
        <v>1</v>
      </c>
      <c r="I8" s="28" t="n">
        <f aca="false">IF(I4&lt;=3,INDEX('Giả định'!$B$54:$B$56,I4),1)</f>
        <v>1</v>
      </c>
      <c r="J8" s="28" t="n">
        <f aca="false">IF(J4&lt;=3,INDEX('Giả định'!$B$54:$B$56,J4),1)</f>
        <v>1</v>
      </c>
      <c r="K8" s="28" t="n">
        <f aca="false">IF(K4&lt;=3,INDEX('Giả định'!$B$54:$B$56,K4),1)</f>
        <v>1</v>
      </c>
      <c r="L8" s="28" t="n">
        <f aca="false">IF(L4&lt;=3,INDEX('Giả định'!$B$54:$B$56,L4),1)</f>
        <v>1</v>
      </c>
      <c r="M8" s="28" t="n">
        <f aca="false">IF(M4&lt;=3,INDEX('Giả định'!$B$54:$B$56,M4),1)</f>
        <v>1</v>
      </c>
      <c r="N8" s="28"/>
    </row>
    <row r="9" customFormat="false" ht="15" hidden="false" customHeight="false" outlineLevel="0" collapsed="false">
      <c r="A9" s="14" t="s">
        <v>87</v>
      </c>
      <c r="B9" s="29" t="n">
        <f aca="false">'Giả định'!$B$22*B7*B8</f>
        <v>36000000</v>
      </c>
      <c r="C9" s="29" t="n">
        <f aca="false">'Giả định'!$B$22*C7*C8</f>
        <v>72000000</v>
      </c>
      <c r="D9" s="29" t="n">
        <f aca="false">'Giả định'!$B$22*D7*D8</f>
        <v>118800000</v>
      </c>
      <c r="E9" s="29" t="n">
        <f aca="false">'Giả định'!$B$22*E7*E8</f>
        <v>60000000</v>
      </c>
      <c r="F9" s="29" t="n">
        <f aca="false">'Giả định'!$B$22*F7*F8</f>
        <v>42000000</v>
      </c>
      <c r="G9" s="29" t="n">
        <f aca="false">'Giả định'!$B$22*G7*G8</f>
        <v>48000000</v>
      </c>
      <c r="H9" s="29" t="n">
        <f aca="false">'Giả định'!$B$22*H7*H8</f>
        <v>48000000</v>
      </c>
      <c r="I9" s="29" t="n">
        <f aca="false">'Giả định'!$B$22*I7*I8</f>
        <v>42000000</v>
      </c>
      <c r="J9" s="29" t="n">
        <f aca="false">'Giả định'!$B$22*J7*J8</f>
        <v>48000000</v>
      </c>
      <c r="K9" s="29" t="n">
        <f aca="false">'Giả định'!$B$22*K7*K8</f>
        <v>54000000</v>
      </c>
      <c r="L9" s="29" t="n">
        <f aca="false">'Giả định'!$B$22*L7*L8</f>
        <v>84000000</v>
      </c>
      <c r="M9" s="29" t="n">
        <f aca="false">'Giả định'!$B$22*M7*M8</f>
        <v>60000000</v>
      </c>
      <c r="N9" s="29" t="n">
        <f aca="false">SUM(B9:M9)</f>
        <v>712800000</v>
      </c>
    </row>
    <row r="10" customFormat="false" ht="15" hidden="false" customHeight="false" outlineLevel="0" collapsed="false">
      <c r="A10" s="30" t="s">
        <v>88</v>
      </c>
      <c r="B10" s="31" t="n">
        <f aca="false">B9*'Giả định'!$B$62</f>
        <v>36000000</v>
      </c>
      <c r="C10" s="31" t="n">
        <f aca="false">C9*'Giả định'!$B$62</f>
        <v>72000000</v>
      </c>
      <c r="D10" s="31" t="n">
        <f aca="false">D9*'Giả định'!$B$62</f>
        <v>118800000</v>
      </c>
      <c r="E10" s="31" t="n">
        <f aca="false">E9*'Giả định'!$B$62</f>
        <v>60000000</v>
      </c>
      <c r="F10" s="31" t="n">
        <f aca="false">F9*'Giả định'!$B$62</f>
        <v>42000000</v>
      </c>
      <c r="G10" s="31" t="n">
        <f aca="false">G9*'Giả định'!$B$62</f>
        <v>48000000</v>
      </c>
      <c r="H10" s="31" t="n">
        <f aca="false">H9*'Giả định'!$B$62</f>
        <v>48000000</v>
      </c>
      <c r="I10" s="31" t="n">
        <f aca="false">I9*'Giả định'!$B$62</f>
        <v>42000000</v>
      </c>
      <c r="J10" s="31" t="n">
        <f aca="false">J9*'Giả định'!$B$62</f>
        <v>48000000</v>
      </c>
      <c r="K10" s="31" t="n">
        <f aca="false">K9*'Giả định'!$B$62</f>
        <v>54000000</v>
      </c>
      <c r="L10" s="31" t="n">
        <f aca="false">L9*'Giả định'!$B$62</f>
        <v>84000000</v>
      </c>
      <c r="M10" s="31" t="n">
        <f aca="false">M9*'Giả định'!$B$62</f>
        <v>60000000</v>
      </c>
      <c r="N10" s="31" t="n">
        <f aca="false">SUM(B10:M10)</f>
        <v>712800000</v>
      </c>
    </row>
    <row r="11" customFormat="false" ht="15" hidden="false" customHeight="false" outlineLevel="0" collapsed="false">
      <c r="A11" s="14" t="s">
        <v>89</v>
      </c>
      <c r="B11" s="29" t="n">
        <f aca="false">B10*(1-'Giả định'!$B$23)</f>
        <v>25200000</v>
      </c>
      <c r="C11" s="29" t="n">
        <f aca="false">C10*(1-'Giả định'!$B$23)</f>
        <v>50400000</v>
      </c>
      <c r="D11" s="29" t="n">
        <f aca="false">D10*(1-'Giả định'!$B$23)</f>
        <v>83160000</v>
      </c>
      <c r="E11" s="29" t="n">
        <f aca="false">E10*(1-'Giả định'!$B$23)</f>
        <v>42000000</v>
      </c>
      <c r="F11" s="29" t="n">
        <f aca="false">F10*(1-'Giả định'!$B$23)</f>
        <v>29400000</v>
      </c>
      <c r="G11" s="29" t="n">
        <f aca="false">G10*(1-'Giả định'!$B$23)</f>
        <v>33600000</v>
      </c>
      <c r="H11" s="29" t="n">
        <f aca="false">H10*(1-'Giả định'!$B$23)</f>
        <v>33600000</v>
      </c>
      <c r="I11" s="29" t="n">
        <f aca="false">I10*(1-'Giả định'!$B$23)</f>
        <v>29400000</v>
      </c>
      <c r="J11" s="29" t="n">
        <f aca="false">J10*(1-'Giả định'!$B$23)</f>
        <v>33600000</v>
      </c>
      <c r="K11" s="29" t="n">
        <f aca="false">K10*(1-'Giả định'!$B$23)</f>
        <v>37800000</v>
      </c>
      <c r="L11" s="29" t="n">
        <f aca="false">L10*(1-'Giả định'!$B$23)</f>
        <v>58800000</v>
      </c>
      <c r="M11" s="29" t="n">
        <f aca="false">M10*(1-'Giả định'!$B$23)</f>
        <v>42000000</v>
      </c>
      <c r="N11" s="29" t="n">
        <f aca="false">SUM(B11:M11)</f>
        <v>498960000</v>
      </c>
    </row>
    <row r="12" customFormat="false" ht="15" hidden="false" customHeight="false" outlineLevel="0" collapsed="false">
      <c r="A12" s="30" t="s">
        <v>90</v>
      </c>
      <c r="B12" s="31" t="n">
        <f aca="false">B10-B11</f>
        <v>10800000</v>
      </c>
      <c r="C12" s="31" t="n">
        <f aca="false">C10-C11</f>
        <v>21600000</v>
      </c>
      <c r="D12" s="31" t="n">
        <f aca="false">D10-D11</f>
        <v>35640000</v>
      </c>
      <c r="E12" s="31" t="n">
        <f aca="false">E10-E11</f>
        <v>18000000</v>
      </c>
      <c r="F12" s="31" t="n">
        <f aca="false">F10-F11</f>
        <v>12600000</v>
      </c>
      <c r="G12" s="31" t="n">
        <f aca="false">G10-G11</f>
        <v>14400000</v>
      </c>
      <c r="H12" s="31" t="n">
        <f aca="false">H10-H11</f>
        <v>14400000</v>
      </c>
      <c r="I12" s="31" t="n">
        <f aca="false">I10-I11</f>
        <v>12600000</v>
      </c>
      <c r="J12" s="31" t="n">
        <f aca="false">J10-J11</f>
        <v>14400000</v>
      </c>
      <c r="K12" s="31" t="n">
        <f aca="false">K10-K11</f>
        <v>16200000</v>
      </c>
      <c r="L12" s="31" t="n">
        <f aca="false">L10-L11</f>
        <v>25200000</v>
      </c>
      <c r="M12" s="31" t="n">
        <f aca="false">M10-M11</f>
        <v>18000000</v>
      </c>
      <c r="N12" s="31" t="n">
        <f aca="false">SUM(B12:M12)</f>
        <v>213840000</v>
      </c>
    </row>
    <row r="13" customFormat="false" ht="15" hidden="false" customHeight="false" outlineLevel="0" collapsed="false">
      <c r="A13" s="14" t="s">
        <v>91</v>
      </c>
      <c r="B13" s="29" t="n">
        <f aca="false">B10*'Giả định'!$B$24</f>
        <v>1080000</v>
      </c>
      <c r="C13" s="29" t="n">
        <f aca="false">C10*'Giả định'!$B$24</f>
        <v>2160000</v>
      </c>
      <c r="D13" s="29" t="n">
        <f aca="false">D10*'Giả định'!$B$24</f>
        <v>3564000</v>
      </c>
      <c r="E13" s="29" t="n">
        <f aca="false">E10*'Giả định'!$B$24</f>
        <v>1800000</v>
      </c>
      <c r="F13" s="29" t="n">
        <f aca="false">F10*'Giả định'!$B$24</f>
        <v>1260000</v>
      </c>
      <c r="G13" s="29" t="n">
        <f aca="false">G10*'Giả định'!$B$24</f>
        <v>1440000</v>
      </c>
      <c r="H13" s="29" t="n">
        <f aca="false">H10*'Giả định'!$B$24</f>
        <v>1440000</v>
      </c>
      <c r="I13" s="29" t="n">
        <f aca="false">I10*'Giả định'!$B$24</f>
        <v>1260000</v>
      </c>
      <c r="J13" s="29" t="n">
        <f aca="false">J10*'Giả định'!$B$24</f>
        <v>1440000</v>
      </c>
      <c r="K13" s="29" t="n">
        <f aca="false">K10*'Giả định'!$B$24</f>
        <v>1620000</v>
      </c>
      <c r="L13" s="29" t="n">
        <f aca="false">L10*'Giả định'!$B$24</f>
        <v>2520000</v>
      </c>
      <c r="M13" s="29" t="n">
        <f aca="false">M10*'Giả định'!$B$24</f>
        <v>1800000</v>
      </c>
      <c r="N13" s="29" t="n">
        <f aca="false">SUM(B13:M13)</f>
        <v>21384000</v>
      </c>
    </row>
    <row r="14" customFormat="false" ht="15" hidden="false" customHeight="false" outlineLevel="0" collapsed="false">
      <c r="A14" s="14" t="s">
        <v>92</v>
      </c>
      <c r="B14" s="29" t="n">
        <f aca="false">B10*'Giả định'!$B$25</f>
        <v>0</v>
      </c>
      <c r="C14" s="29" t="n">
        <f aca="false">C10*'Giả định'!$B$25</f>
        <v>0</v>
      </c>
      <c r="D14" s="29" t="n">
        <f aca="false">D10*'Giả định'!$B$25</f>
        <v>0</v>
      </c>
      <c r="E14" s="29" t="n">
        <f aca="false">E10*'Giả định'!$B$25</f>
        <v>0</v>
      </c>
      <c r="F14" s="29" t="n">
        <f aca="false">F10*'Giả định'!$B$25</f>
        <v>0</v>
      </c>
      <c r="G14" s="29" t="n">
        <f aca="false">G10*'Giả định'!$B$25</f>
        <v>0</v>
      </c>
      <c r="H14" s="29" t="n">
        <f aca="false">H10*'Giả định'!$B$25</f>
        <v>0</v>
      </c>
      <c r="I14" s="29" t="n">
        <f aca="false">I10*'Giả định'!$B$25</f>
        <v>0</v>
      </c>
      <c r="J14" s="29" t="n">
        <f aca="false">J10*'Giả định'!$B$25</f>
        <v>0</v>
      </c>
      <c r="K14" s="29" t="n">
        <f aca="false">K10*'Giả định'!$B$25</f>
        <v>0</v>
      </c>
      <c r="L14" s="29" t="n">
        <f aca="false">L10*'Giả định'!$B$25</f>
        <v>0</v>
      </c>
      <c r="M14" s="29" t="n">
        <f aca="false">M10*'Giả định'!$B$25</f>
        <v>0</v>
      </c>
      <c r="N14" s="29" t="n">
        <f aca="false">SUM(B14:M14)</f>
        <v>0</v>
      </c>
    </row>
    <row r="15" customFormat="false" ht="15" hidden="false" customHeight="false" outlineLevel="0" collapsed="false">
      <c r="A15" s="14" t="s">
        <v>93</v>
      </c>
      <c r="B15" s="29" t="n">
        <f aca="false">'Giả định'!$B$35</f>
        <v>12000000</v>
      </c>
      <c r="C15" s="29" t="n">
        <f aca="false">'Giả định'!$B$35</f>
        <v>12000000</v>
      </c>
      <c r="D15" s="29" t="n">
        <f aca="false">'Giả định'!$B$35</f>
        <v>12000000</v>
      </c>
      <c r="E15" s="29" t="n">
        <f aca="false">'Giả định'!$B$35</f>
        <v>12000000</v>
      </c>
      <c r="F15" s="29" t="n">
        <f aca="false">'Giả định'!$B$35</f>
        <v>12000000</v>
      </c>
      <c r="G15" s="29" t="n">
        <f aca="false">'Giả định'!$B$35</f>
        <v>12000000</v>
      </c>
      <c r="H15" s="29" t="n">
        <f aca="false">'Giả định'!$B$35</f>
        <v>12000000</v>
      </c>
      <c r="I15" s="29" t="n">
        <f aca="false">'Giả định'!$B$35</f>
        <v>12000000</v>
      </c>
      <c r="J15" s="29" t="n">
        <f aca="false">'Giả định'!$B$35</f>
        <v>12000000</v>
      </c>
      <c r="K15" s="29" t="n">
        <f aca="false">'Giả định'!$B$35</f>
        <v>12000000</v>
      </c>
      <c r="L15" s="29" t="n">
        <f aca="false">'Giả định'!$B$35</f>
        <v>12000000</v>
      </c>
      <c r="M15" s="29" t="n">
        <f aca="false">'Giả định'!$B$35</f>
        <v>12000000</v>
      </c>
      <c r="N15" s="29" t="n">
        <f aca="false">SUM(B15:M15)</f>
        <v>144000000</v>
      </c>
    </row>
    <row r="16" customFormat="false" ht="15" hidden="false" customHeight="false" outlineLevel="0" collapsed="false">
      <c r="A16" s="30" t="s">
        <v>94</v>
      </c>
      <c r="B16" s="31" t="n">
        <f aca="false">B12-B13-B14-B15</f>
        <v>-2280000</v>
      </c>
      <c r="C16" s="31" t="n">
        <f aca="false">C12-C13-C14-C15</f>
        <v>7440000</v>
      </c>
      <c r="D16" s="31" t="n">
        <f aca="false">D12-D13-D14-D15</f>
        <v>20076000</v>
      </c>
      <c r="E16" s="31" t="n">
        <f aca="false">E12-E13-E14-E15</f>
        <v>4200000</v>
      </c>
      <c r="F16" s="31" t="n">
        <f aca="false">F12-F13-F14-F15</f>
        <v>-659999.999999996</v>
      </c>
      <c r="G16" s="31" t="n">
        <f aca="false">G12-G13-G14-G15</f>
        <v>960000</v>
      </c>
      <c r="H16" s="31" t="n">
        <f aca="false">H12-H13-H14-H15</f>
        <v>960000</v>
      </c>
      <c r="I16" s="31" t="n">
        <f aca="false">I12-I13-I14-I15</f>
        <v>-659999.999999996</v>
      </c>
      <c r="J16" s="31" t="n">
        <f aca="false">J12-J13-J14-J15</f>
        <v>960000</v>
      </c>
      <c r="K16" s="31" t="n">
        <f aca="false">K12-K13-K14-K15</f>
        <v>2580000</v>
      </c>
      <c r="L16" s="31" t="n">
        <f aca="false">L12-L13-L14-L15</f>
        <v>10680000</v>
      </c>
      <c r="M16" s="31" t="n">
        <f aca="false">M12-M13-M14-M15</f>
        <v>4200000</v>
      </c>
      <c r="N16" s="31" t="n">
        <f aca="false">SUM(B16:M16)</f>
        <v>48456000</v>
      </c>
    </row>
    <row r="17" customFormat="false" ht="15" hidden="false" customHeight="false" outlineLevel="0" collapsed="false">
      <c r="A17" s="30" t="s">
        <v>95</v>
      </c>
      <c r="B17" s="31" t="n">
        <f aca="false">B16</f>
        <v>-2280000</v>
      </c>
      <c r="C17" s="31" t="n">
        <f aca="false">B17+C16</f>
        <v>5160000</v>
      </c>
      <c r="D17" s="31" t="n">
        <f aca="false">C17+D16</f>
        <v>25236000</v>
      </c>
      <c r="E17" s="31" t="n">
        <f aca="false">D17+E16</f>
        <v>29436000</v>
      </c>
      <c r="F17" s="31" t="n">
        <f aca="false">E17+F16</f>
        <v>28776000</v>
      </c>
      <c r="G17" s="31" t="n">
        <f aca="false">F17+G16</f>
        <v>29736000</v>
      </c>
      <c r="H17" s="31" t="n">
        <f aca="false">G17+H16</f>
        <v>30696000</v>
      </c>
      <c r="I17" s="31" t="n">
        <f aca="false">H17+I16</f>
        <v>30036000</v>
      </c>
      <c r="J17" s="31" t="n">
        <f aca="false">I17+J16</f>
        <v>30996000</v>
      </c>
      <c r="K17" s="31" t="n">
        <f aca="false">J17+K16</f>
        <v>33576000</v>
      </c>
      <c r="L17" s="31" t="n">
        <f aca="false">K17+L16</f>
        <v>44256000</v>
      </c>
      <c r="M17" s="31" t="n">
        <f aca="false">L17+M16</f>
        <v>48456000</v>
      </c>
      <c r="N17" s="31" t="n">
        <f aca="false">M17</f>
        <v>48456000</v>
      </c>
    </row>
    <row r="18" customFormat="false" ht="15" hidden="false" customHeight="false" outlineLevel="0" collapsed="false">
      <c r="A18" s="13" t="s">
        <v>96</v>
      </c>
      <c r="B18" s="29"/>
      <c r="C18" s="29"/>
      <c r="D18" s="29"/>
      <c r="E18" s="29"/>
      <c r="F18" s="29"/>
      <c r="G18" s="29"/>
      <c r="H18" s="29"/>
      <c r="I18" s="29"/>
      <c r="J18" s="29"/>
      <c r="K18" s="29"/>
      <c r="L18" s="29"/>
      <c r="M18" s="29"/>
      <c r="N18" s="29"/>
    </row>
    <row r="19" customFormat="false" ht="15" hidden="false" customHeight="false" outlineLevel="0" collapsed="false">
      <c r="A19" s="14" t="s">
        <v>97</v>
      </c>
      <c r="B19" s="29" t="n">
        <f aca="false">'Giả định'!$B$16</f>
        <v>30000000</v>
      </c>
      <c r="C19" s="29" t="n">
        <f aca="false">B20</f>
        <v>50400000</v>
      </c>
      <c r="D19" s="29" t="n">
        <f aca="false">C20</f>
        <v>83160000</v>
      </c>
      <c r="E19" s="29" t="n">
        <f aca="false">D20</f>
        <v>42000000</v>
      </c>
      <c r="F19" s="29" t="n">
        <f aca="false">E20</f>
        <v>29400000</v>
      </c>
      <c r="G19" s="29" t="n">
        <f aca="false">F20</f>
        <v>33600000</v>
      </c>
      <c r="H19" s="29" t="n">
        <f aca="false">G20</f>
        <v>33600000</v>
      </c>
      <c r="I19" s="29" t="n">
        <f aca="false">H20</f>
        <v>29400000</v>
      </c>
      <c r="J19" s="29" t="n">
        <f aca="false">I20</f>
        <v>33600000</v>
      </c>
      <c r="K19" s="29" t="n">
        <f aca="false">J20</f>
        <v>37800000</v>
      </c>
      <c r="L19" s="29" t="n">
        <f aca="false">K20</f>
        <v>58800000</v>
      </c>
      <c r="M19" s="29" t="n">
        <f aca="false">L20</f>
        <v>42000000</v>
      </c>
      <c r="N19" s="29" t="n">
        <f aca="false">B19</f>
        <v>30000000</v>
      </c>
    </row>
    <row r="20" customFormat="false" ht="15" hidden="false" customHeight="false" outlineLevel="0" collapsed="false">
      <c r="A20" s="14" t="s">
        <v>98</v>
      </c>
      <c r="B20" s="29" t="n">
        <f aca="false">C11*'Giả định'!$B$26/30</f>
        <v>50400000</v>
      </c>
      <c r="C20" s="29" t="n">
        <f aca="false">D11*'Giả định'!$B$26/30</f>
        <v>83160000</v>
      </c>
      <c r="D20" s="29" t="n">
        <f aca="false">E11*'Giả định'!$B$26/30</f>
        <v>42000000</v>
      </c>
      <c r="E20" s="29" t="n">
        <f aca="false">F11*'Giả định'!$B$26/30</f>
        <v>29400000</v>
      </c>
      <c r="F20" s="29" t="n">
        <f aca="false">G11*'Giả định'!$B$26/30</f>
        <v>33600000</v>
      </c>
      <c r="G20" s="29" t="n">
        <f aca="false">H11*'Giả định'!$B$26/30</f>
        <v>33600000</v>
      </c>
      <c r="H20" s="29" t="n">
        <f aca="false">I11*'Giả định'!$B$26/30</f>
        <v>29400000</v>
      </c>
      <c r="I20" s="29" t="n">
        <f aca="false">J11*'Giả định'!$B$26/30</f>
        <v>33600000</v>
      </c>
      <c r="J20" s="29" t="n">
        <f aca="false">K11*'Giả định'!$B$26/30</f>
        <v>37800000</v>
      </c>
      <c r="K20" s="29" t="n">
        <f aca="false">L11*'Giả định'!$B$26/30</f>
        <v>58800000</v>
      </c>
      <c r="L20" s="29" t="n">
        <f aca="false">M11*'Giả định'!$B$26/30</f>
        <v>42000000</v>
      </c>
      <c r="M20" s="29" t="n">
        <f aca="false">'Giả định'!$B$22*INDEX('Giả định'!$B$39:$B$50,MOD(M5,12)+1)*'Giả định'!$B$62*(1-'Giả định'!$B$23)*'Giả định'!$B$26/30</f>
        <v>42000000</v>
      </c>
      <c r="N20" s="29" t="n">
        <f aca="false">M20</f>
        <v>42000000</v>
      </c>
    </row>
    <row r="21" customFormat="false" ht="15" hidden="false" customHeight="false" outlineLevel="0" collapsed="false">
      <c r="A21" s="14" t="s">
        <v>99</v>
      </c>
      <c r="B21" s="29" t="n">
        <f aca="false">B11+B20-B19</f>
        <v>45600000</v>
      </c>
      <c r="C21" s="29" t="n">
        <f aca="false">C11+C20-C19</f>
        <v>83160000</v>
      </c>
      <c r="D21" s="29" t="n">
        <f aca="false">D11+D20-D19</f>
        <v>42000000</v>
      </c>
      <c r="E21" s="29" t="n">
        <f aca="false">E11+E20-E19</f>
        <v>29400000</v>
      </c>
      <c r="F21" s="29" t="n">
        <f aca="false">F11+F20-F19</f>
        <v>33600000</v>
      </c>
      <c r="G21" s="29" t="n">
        <f aca="false">G11+G20-G19</f>
        <v>33600000</v>
      </c>
      <c r="H21" s="29" t="n">
        <f aca="false">H11+H20-H19</f>
        <v>29400000</v>
      </c>
      <c r="I21" s="29" t="n">
        <f aca="false">I11+I20-I19</f>
        <v>33600000</v>
      </c>
      <c r="J21" s="29" t="n">
        <f aca="false">J11+J20-J19</f>
        <v>37800000</v>
      </c>
      <c r="K21" s="29" t="n">
        <f aca="false">K11+K20-K19</f>
        <v>58800000</v>
      </c>
      <c r="L21" s="29" t="n">
        <f aca="false">L11+L20-L19</f>
        <v>42000000</v>
      </c>
      <c r="M21" s="29" t="n">
        <f aca="false">M11+M20-M19</f>
        <v>42000000</v>
      </c>
      <c r="N21" s="29" t="n">
        <f aca="false">SUM(B21:M21)</f>
        <v>510960000</v>
      </c>
    </row>
    <row r="22" customFormat="false" ht="15" hidden="false" customHeight="false" outlineLevel="0" collapsed="false">
      <c r="A22" s="30" t="s">
        <v>100</v>
      </c>
      <c r="B22" s="31" t="n">
        <f aca="false">B10-B21-B13-B14-B15</f>
        <v>-22680000</v>
      </c>
      <c r="C22" s="31" t="n">
        <f aca="false">C10-C21-C13-C14-C15</f>
        <v>-25320000</v>
      </c>
      <c r="D22" s="31" t="n">
        <f aca="false">D10-D21-D13-D14-D15</f>
        <v>61236000</v>
      </c>
      <c r="E22" s="31" t="n">
        <f aca="false">E10-E21-E13-E14-E15</f>
        <v>16800000</v>
      </c>
      <c r="F22" s="31" t="n">
        <f aca="false">F10-F21-F13-F14-F15</f>
        <v>-4860000</v>
      </c>
      <c r="G22" s="31" t="n">
        <f aca="false">G10-G21-G13-G14-G15</f>
        <v>960000</v>
      </c>
      <c r="H22" s="31" t="n">
        <f aca="false">H10-H21-H13-H14-H15</f>
        <v>5160000</v>
      </c>
      <c r="I22" s="31" t="n">
        <f aca="false">I10-I21-I13-I14-I15</f>
        <v>-4860000</v>
      </c>
      <c r="J22" s="31" t="n">
        <f aca="false">J10-J21-J13-J14-J15</f>
        <v>-3240000</v>
      </c>
      <c r="K22" s="31" t="n">
        <f aca="false">K10-K21-K13-K14-K15</f>
        <v>-18420000</v>
      </c>
      <c r="L22" s="31" t="n">
        <f aca="false">L10-L21-L13-L14-L15</f>
        <v>27480000</v>
      </c>
      <c r="M22" s="31" t="n">
        <f aca="false">M10-M21-M13-M14-M15</f>
        <v>4200000</v>
      </c>
      <c r="N22" s="31" t="n">
        <f aca="false">SUM(B22:M22)</f>
        <v>36456000</v>
      </c>
    </row>
    <row r="23" customFormat="false" ht="15" hidden="false" customHeight="false" outlineLevel="0" collapsed="false">
      <c r="A23" s="30" t="s">
        <v>101</v>
      </c>
      <c r="B23" s="31" t="n">
        <f aca="false">'Giả định'!$B$18+B22</f>
        <v>-7680000</v>
      </c>
      <c r="C23" s="31" t="n">
        <f aca="false">B23+C22</f>
        <v>-33000000</v>
      </c>
      <c r="D23" s="31" t="n">
        <f aca="false">C23+D22</f>
        <v>28236000</v>
      </c>
      <c r="E23" s="31" t="n">
        <f aca="false">D23+E22</f>
        <v>45036000</v>
      </c>
      <c r="F23" s="31" t="n">
        <f aca="false">E23+F22</f>
        <v>40176000</v>
      </c>
      <c r="G23" s="31" t="n">
        <f aca="false">F23+G22</f>
        <v>41136000</v>
      </c>
      <c r="H23" s="31" t="n">
        <f aca="false">G23+H22</f>
        <v>46296000</v>
      </c>
      <c r="I23" s="31" t="n">
        <f aca="false">H23+I22</f>
        <v>41436000</v>
      </c>
      <c r="J23" s="31" t="n">
        <f aca="false">I23+J22</f>
        <v>38196000</v>
      </c>
      <c r="K23" s="31" t="n">
        <f aca="false">J23+K22</f>
        <v>19776000</v>
      </c>
      <c r="L23" s="31" t="n">
        <f aca="false">K23+L22</f>
        <v>47256000</v>
      </c>
      <c r="M23" s="31" t="n">
        <f aca="false">L23+M22</f>
        <v>51456000</v>
      </c>
      <c r="N23" s="31" t="n">
        <f aca="false">M23</f>
        <v>51456000</v>
      </c>
    </row>
    <row r="24" customFormat="false" ht="15" hidden="false" customHeight="false" outlineLevel="0" collapsed="false">
      <c r="A24" s="14" t="s">
        <v>102</v>
      </c>
      <c r="B24" s="26" t="str">
        <f aca="false">IF(B23&lt;0,"THIẾU TIỀN",IF(B16&lt;0,"Lỗ tháng","Ổn"))</f>
        <v>THIẾU TIỀN</v>
      </c>
      <c r="C24" s="26" t="str">
        <f aca="false">IF(C23&lt;0,"THIẾU TIỀN",IF(C16&lt;0,"Lỗ tháng","Ổn"))</f>
        <v>THIẾU TIỀN</v>
      </c>
      <c r="D24" s="26" t="str">
        <f aca="false">IF(D23&lt;0,"THIẾU TIỀN",IF(D16&lt;0,"Lỗ tháng","Ổn"))</f>
        <v>Ổn</v>
      </c>
      <c r="E24" s="26" t="str">
        <f aca="false">IF(E23&lt;0,"THIẾU TIỀN",IF(E16&lt;0,"Lỗ tháng","Ổn"))</f>
        <v>Ổn</v>
      </c>
      <c r="F24" s="26" t="str">
        <f aca="false">IF(F23&lt;0,"THIẾU TIỀN",IF(F16&lt;0,"Lỗ tháng","Ổn"))</f>
        <v>Lỗ tháng</v>
      </c>
      <c r="G24" s="26" t="str">
        <f aca="false">IF(G23&lt;0,"THIẾU TIỀN",IF(G16&lt;0,"Lỗ tháng","Ổn"))</f>
        <v>Ổn</v>
      </c>
      <c r="H24" s="26" t="str">
        <f aca="false">IF(H23&lt;0,"THIẾU TIỀN",IF(H16&lt;0,"Lỗ tháng","Ổn"))</f>
        <v>Ổn</v>
      </c>
      <c r="I24" s="26" t="str">
        <f aca="false">IF(I23&lt;0,"THIẾU TIỀN",IF(I16&lt;0,"Lỗ tháng","Ổn"))</f>
        <v>Lỗ tháng</v>
      </c>
      <c r="J24" s="26" t="str">
        <f aca="false">IF(J23&lt;0,"THIẾU TIỀN",IF(J16&lt;0,"Lỗ tháng","Ổn"))</f>
        <v>Ổn</v>
      </c>
      <c r="K24" s="26" t="str">
        <f aca="false">IF(K23&lt;0,"THIẾU TIỀN",IF(K16&lt;0,"Lỗ tháng","Ổn"))</f>
        <v>Ổn</v>
      </c>
      <c r="L24" s="26" t="str">
        <f aca="false">IF(L23&lt;0,"THIẾU TIỀN",IF(L16&lt;0,"Lỗ tháng","Ổn"))</f>
        <v>Ổn</v>
      </c>
      <c r="M24" s="26" t="str">
        <f aca="false">IF(M23&lt;0,"THIẾU TIỀN",IF(M16&lt;0,"Lỗ tháng","Ổn"))</f>
        <v>Ổn</v>
      </c>
      <c r="N24" s="26"/>
    </row>
    <row r="25" customFormat="false" ht="15" hidden="false" customHeight="false" outlineLevel="0" collapsed="false">
      <c r="A25" s="14" t="s">
        <v>103</v>
      </c>
      <c r="B25" s="25" t="str">
        <f aca="false">IF(B23&gt;='Giả định'!$B$19,B4,"")</f>
        <v/>
      </c>
      <c r="C25" s="25" t="str">
        <f aca="false">IF(C23&gt;='Giả định'!$B$19,C4,"")</f>
        <v/>
      </c>
      <c r="D25" s="25" t="str">
        <f aca="false">IF(D23&gt;='Giả định'!$B$19,D4,"")</f>
        <v/>
      </c>
      <c r="E25" s="25" t="str">
        <f aca="false">IF(E23&gt;='Giả định'!$B$19,E4,"")</f>
        <v/>
      </c>
      <c r="F25" s="25" t="str">
        <f aca="false">IF(F23&gt;='Giả định'!$B$19,F4,"")</f>
        <v/>
      </c>
      <c r="G25" s="25" t="str">
        <f aca="false">IF(G23&gt;='Giả định'!$B$19,G4,"")</f>
        <v/>
      </c>
      <c r="H25" s="25" t="str">
        <f aca="false">IF(H23&gt;='Giả định'!$B$19,H4,"")</f>
        <v/>
      </c>
      <c r="I25" s="25" t="str">
        <f aca="false">IF(I23&gt;='Giả định'!$B$19,I4,"")</f>
        <v/>
      </c>
      <c r="J25" s="25" t="str">
        <f aca="false">IF(J23&gt;='Giả định'!$B$19,J4,"")</f>
        <v/>
      </c>
      <c r="K25" s="25" t="str">
        <f aca="false">IF(K23&gt;='Giả định'!$B$19,K4,"")</f>
        <v/>
      </c>
      <c r="L25" s="25" t="str">
        <f aca="false">IF(L23&gt;='Giả định'!$B$19,L4,"")</f>
        <v/>
      </c>
      <c r="M25" s="25" t="str">
        <f aca="false">IF(M23&gt;='Giả định'!$B$19,M4,"")</f>
        <v/>
      </c>
      <c r="N25" s="25"/>
    </row>
    <row r="27" customFormat="false" ht="15" hidden="false" customHeight="false" outlineLevel="0" collapsed="false">
      <c r="A27" s="20" t="s">
        <v>104</v>
      </c>
    </row>
    <row r="28" customFormat="false" ht="15" hidden="false" customHeight="false" outlineLevel="0" collapsed="false">
      <c r="A28" s="20" t="s">
        <v>78</v>
      </c>
    </row>
  </sheetData>
  <conditionalFormatting sqref="B16:N17">
    <cfRule type="cellIs" priority="2" operator="lessThan" aboveAverage="0" equalAverage="0" bottom="0" percent="0" rank="0" text="" dxfId="0">
      <formula>0</formula>
    </cfRule>
  </conditionalFormatting>
  <conditionalFormatting sqref="B22:N23">
    <cfRule type="cellIs" priority="3" operator="lessThan" aboveAverage="0" equalAverage="0" bottom="0" percent="0" rank="0" text="" dxfId="0">
      <formula>0</formula>
    </cfRule>
  </conditionalFormatting>
  <conditionalFormatting sqref="B24:M24">
    <cfRule type="cellIs" priority="4" operator="equal" aboveAverage="0" equalAverage="0" bottom="0" percent="0" rank="0" text="" dxfId="1">
      <formula>"THIẾU TIỀN"</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2" min="2" style="0" width="26"/>
    <col collapsed="false" customWidth="true" hidden="false" outlineLevel="0" max="4" min="3" style="0" width="24"/>
    <col collapsed="false" customWidth="true" hidden="false" outlineLevel="0" max="5" min="5" style="0" width="30"/>
  </cols>
  <sheetData>
    <row r="1" customFormat="false" ht="17.35" hidden="false" customHeight="false" outlineLevel="0" collapsed="false">
      <c r="A1" s="21" t="s">
        <v>105</v>
      </c>
    </row>
    <row r="2" customFormat="false" ht="15" hidden="false" customHeight="false" outlineLevel="0" collapsed="false">
      <c r="A2" s="22" t="s">
        <v>106</v>
      </c>
    </row>
    <row r="4" customFormat="false" ht="15" hidden="false" customHeight="false" outlineLevel="0" collapsed="false">
      <c r="A4" s="14" t="s">
        <v>107</v>
      </c>
      <c r="B4" s="32" t="n">
        <f aca="false">'Giả định'!B23-'Giả định'!B24-'Giả định'!B25</f>
        <v>0.27</v>
      </c>
    </row>
    <row r="5" customFormat="false" ht="15" hidden="false" customHeight="false" outlineLevel="0" collapsed="false">
      <c r="A5" s="14" t="s">
        <v>108</v>
      </c>
      <c r="B5" s="31" t="n">
        <f aca="false">'Giả định'!B35</f>
        <v>12000000</v>
      </c>
    </row>
    <row r="6" customFormat="false" ht="15" hidden="false" customHeight="false" outlineLevel="0" collapsed="false">
      <c r="A6" s="14" t="s">
        <v>109</v>
      </c>
      <c r="B6" s="31" t="n">
        <f aca="false">IF(B4&lt;=0,"Không hòa vốn được, xem lại % lãi gộp",B5/B4)</f>
        <v>44444444.4444444</v>
      </c>
    </row>
    <row r="7" customFormat="false" ht="15" hidden="false" customHeight="false" outlineLevel="0" collapsed="false">
      <c r="A7" s="14" t="s">
        <v>110</v>
      </c>
      <c r="B7" s="31" t="n">
        <f aca="false">IF(ISNUMBER(B6),B6/30,"")</f>
        <v>1481481.48148148</v>
      </c>
    </row>
    <row r="8" customFormat="false" ht="15" hidden="false" customHeight="false" outlineLevel="0" collapsed="false">
      <c r="A8" s="14" t="s">
        <v>111</v>
      </c>
      <c r="B8" s="31" t="n">
        <f aca="false">'Kế hoạch 12 tháng'!N10/12</f>
        <v>59400000</v>
      </c>
    </row>
    <row r="9" customFormat="false" ht="15" hidden="false" customHeight="false" outlineLevel="0" collapsed="false">
      <c r="A9" s="14" t="s">
        <v>112</v>
      </c>
      <c r="B9" s="32" t="n">
        <f aca="false">IF(ISNUMBER(B6),(B8-B6)/B8,"")</f>
        <v>0.251777029554807</v>
      </c>
    </row>
    <row r="10" customFormat="false" ht="15" hidden="false" customHeight="false" outlineLevel="0" collapsed="false">
      <c r="A10" s="14" t="s">
        <v>113</v>
      </c>
      <c r="B10" s="33" t="n">
        <f aca="false">COUNTIF('Kế hoạch 12 tháng'!B16:M16,"&gt;0")</f>
        <v>9</v>
      </c>
    </row>
    <row r="11" customFormat="false" ht="15" hidden="false" customHeight="false" outlineLevel="0" collapsed="false">
      <c r="A11" s="14" t="s">
        <v>114</v>
      </c>
      <c r="B11" s="31" t="n">
        <f aca="false">'Kế hoạch 12 tháng'!N16</f>
        <v>48456000</v>
      </c>
    </row>
    <row r="12" customFormat="false" ht="15" hidden="false" customHeight="false" outlineLevel="0" collapsed="false">
      <c r="A12" s="14" t="s">
        <v>115</v>
      </c>
      <c r="B12" s="31" t="n">
        <f aca="false">MIN('Kế hoạch 12 tháng'!B23:M23)</f>
        <v>-33000000</v>
      </c>
    </row>
    <row r="13" customFormat="false" ht="15" hidden="false" customHeight="false" outlineLevel="0" collapsed="false">
      <c r="A13" s="14" t="s">
        <v>116</v>
      </c>
      <c r="B13" s="23" t="str">
        <f aca="false">INDEX('Kế hoạch 12 tháng'!B6:M6,MATCH(B12,'Kế hoạch 12 tháng'!B23:M23,0))</f>
        <v>T12/2026</v>
      </c>
    </row>
    <row r="14" customFormat="false" ht="15" hidden="false" customHeight="false" outlineLevel="0" collapsed="false">
      <c r="A14" s="14" t="s">
        <v>23</v>
      </c>
      <c r="B14" s="31" t="n">
        <f aca="false">'Giả định'!B19</f>
        <v>80000000</v>
      </c>
    </row>
    <row r="15" customFormat="false" ht="15" hidden="false" customHeight="false" outlineLevel="0" collapsed="false">
      <c r="A15" s="14" t="s">
        <v>117</v>
      </c>
      <c r="B15" s="23" t="str">
        <f aca="false">IF(COUNT('Kế hoạch 12 tháng'!B25:M25)=0,"Chưa thu hồi đủ trong 12 tháng","Tháng thứ "&amp;MIN('Kế hoạch 12 tháng'!B25:M25))</f>
        <v>Chưa thu hồi đủ trong 12 tháng</v>
      </c>
    </row>
    <row r="16" customFormat="false" ht="15" hidden="false" customHeight="false" outlineLevel="0" collapsed="false">
      <c r="A16" s="14" t="s">
        <v>118</v>
      </c>
      <c r="B16" s="33" t="n">
        <f aca="false">IF(COUNT('Kế hoạch 12 tháng'!B25:M25)&gt;0,MIN('Kế hoạch 12 tháng'!B25:M25),IF(B11&lt;=0,"Không thu hồi được nếu giữ nhịp này",12+ROUNDUP((B14-'Kế hoạch 12 tháng'!M23)/(B11/12),0)))</f>
        <v>20</v>
      </c>
      <c r="C16" s="8" t="s">
        <v>119</v>
      </c>
    </row>
    <row r="18" customFormat="false" ht="15" hidden="false" customHeight="false" outlineLevel="0" collapsed="false">
      <c r="A18" s="10" t="s">
        <v>120</v>
      </c>
    </row>
    <row r="19" customFormat="false" ht="15" hidden="false" customHeight="false" outlineLevel="0" collapsed="false">
      <c r="A19" s="13" t="s">
        <v>121</v>
      </c>
      <c r="B19" s="13" t="s">
        <v>45</v>
      </c>
      <c r="C19" s="13" t="s">
        <v>122</v>
      </c>
      <c r="D19" s="13" t="s">
        <v>114</v>
      </c>
      <c r="E19" s="13" t="s">
        <v>123</v>
      </c>
    </row>
    <row r="20" customFormat="false" ht="15" hidden="false" customHeight="false" outlineLevel="0" collapsed="false">
      <c r="A20" s="14" t="s">
        <v>75</v>
      </c>
      <c r="B20" s="34" t="n">
        <f aca="false">'Giả định'!B59</f>
        <v>0.75</v>
      </c>
      <c r="C20" s="35" t="n">
        <f aca="false">'Kế hoạch 12 tháng'!$N$9*B20</f>
        <v>534600000</v>
      </c>
      <c r="D20" s="35" t="n">
        <f aca="false">C20*$B$4-12*$B$5</f>
        <v>342000</v>
      </c>
      <c r="E20" s="35" t="n">
        <f aca="false">IF(ISNUMBER($B$6),C20/12-$B$6,"")</f>
        <v>105555.55555556</v>
      </c>
    </row>
    <row r="21" customFormat="false" ht="15" hidden="false" customHeight="false" outlineLevel="0" collapsed="false">
      <c r="A21" s="14" t="s">
        <v>12</v>
      </c>
      <c r="B21" s="34" t="n">
        <f aca="false">'Giả định'!B60</f>
        <v>1</v>
      </c>
      <c r="C21" s="35" t="n">
        <f aca="false">'Kế hoạch 12 tháng'!$N$9*B21</f>
        <v>712800000</v>
      </c>
      <c r="D21" s="35" t="n">
        <f aca="false">C21*$B$4-12*$B$5</f>
        <v>48456000</v>
      </c>
      <c r="E21" s="35" t="n">
        <f aca="false">IF(ISNUMBER($B$6),C21/12-$B$6,"")</f>
        <v>14955555.5555556</v>
      </c>
    </row>
    <row r="22" customFormat="false" ht="15" hidden="false" customHeight="false" outlineLevel="0" collapsed="false">
      <c r="A22" s="14" t="s">
        <v>76</v>
      </c>
      <c r="B22" s="34" t="n">
        <f aca="false">'Giả định'!B61</f>
        <v>1.2</v>
      </c>
      <c r="C22" s="35" t="n">
        <f aca="false">'Kế hoạch 12 tháng'!$N$9*B22</f>
        <v>855360000</v>
      </c>
      <c r="D22" s="35" t="n">
        <f aca="false">C22*$B$4-12*$B$5</f>
        <v>86947200</v>
      </c>
      <c r="E22" s="35" t="n">
        <f aca="false">IF(ISNUMBER($B$6),C22/12-$B$6,"")</f>
        <v>26835555.5555556</v>
      </c>
    </row>
    <row r="24" customFormat="false" ht="15" hidden="false" customHeight="false" outlineLevel="0" collapsed="false">
      <c r="A24" s="20" t="s">
        <v>124</v>
      </c>
    </row>
    <row r="25" customFormat="false" ht="15" hidden="false" customHeight="false" outlineLevel="0" collapsed="false">
      <c r="A25" s="20" t="s">
        <v>78</v>
      </c>
    </row>
  </sheetData>
  <conditionalFormatting sqref="D20:E22">
    <cfRule type="cellIs" priority="2" operator="lessThan" aboveAverage="0" equalAverage="0" bottom="0" percent="0" rank="0" text="" dxfId="0">
      <formula>0</formula>
    </cfRule>
  </conditionalFormatting>
  <conditionalFormatting sqref="B11:B12">
    <cfRule type="cellIs" priority="3" operator="lessThan" aboveAverage="0" equalAverage="0" bottom="0" percent="0" rank="0" text="" dxfId="0">
      <formula>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7.35" hidden="false" customHeight="false" outlineLevel="0" collapsed="false">
      <c r="A1" s="36" t="s">
        <v>125</v>
      </c>
    </row>
    <row r="2" customFormat="false" ht="15" hidden="false" customHeight="false" outlineLevel="0" collapsed="false">
      <c r="A2" s="37"/>
    </row>
    <row r="3" customFormat="false" ht="26.85" hidden="false" customHeight="false" outlineLevel="0" collapsed="false">
      <c r="A3" s="37" t="s">
        <v>126</v>
      </c>
    </row>
    <row r="4" customFormat="false" ht="15" hidden="false" customHeight="false" outlineLevel="0" collapsed="false">
      <c r="A4" s="37" t="s">
        <v>127</v>
      </c>
    </row>
    <row r="5" customFormat="false" ht="15" hidden="false" customHeight="false" outlineLevel="0" collapsed="false">
      <c r="A5" s="37" t="s">
        <v>128</v>
      </c>
    </row>
    <row r="6" customFormat="false" ht="26.85" hidden="false" customHeight="false" outlineLevel="0" collapsed="false">
      <c r="A6" s="37" t="s">
        <v>129</v>
      </c>
    </row>
    <row r="7" customFormat="false" ht="26.85" hidden="false" customHeight="false" outlineLevel="0" collapsed="false">
      <c r="A7" s="37" t="s">
        <v>130</v>
      </c>
    </row>
    <row r="8" customFormat="false" ht="26.85" hidden="false" customHeight="false" outlineLevel="0" collapsed="false">
      <c r="A8" s="37" t="s">
        <v>131</v>
      </c>
    </row>
    <row r="9" customFormat="false" ht="26.85" hidden="false" customHeight="false" outlineLevel="0" collapsed="false">
      <c r="A9" s="37" t="s">
        <v>132</v>
      </c>
    </row>
    <row r="10" customFormat="false" ht="15" hidden="false" customHeight="false" outlineLevel="0" collapsed="false">
      <c r="A10" s="37" t="s">
        <v>133</v>
      </c>
    </row>
    <row r="11" customFormat="false" ht="26.85" hidden="false" customHeight="false" outlineLevel="0" collapsed="false">
      <c r="A11" s="37" t="s">
        <v>134</v>
      </c>
    </row>
    <row r="12" customFormat="false" ht="26.85" hidden="false" customHeight="false" outlineLevel="0" collapsed="false">
      <c r="A12" s="37" t="s">
        <v>135</v>
      </c>
    </row>
    <row r="13" customFormat="false" ht="26.85" hidden="false" customHeight="false" outlineLevel="0" collapsed="false">
      <c r="A13" s="37" t="s">
        <v>136</v>
      </c>
    </row>
    <row r="14" customFormat="false" ht="15" hidden="false" customHeight="false" outlineLevel="0" collapsed="false">
      <c r="A14" s="37" t="s">
        <v>137</v>
      </c>
    </row>
    <row r="15" customFormat="false" ht="15" hidden="false" customHeight="false" outlineLevel="0" collapsed="false">
      <c r="A15" s="37" t="s">
        <v>138</v>
      </c>
    </row>
    <row r="16" customFormat="false" ht="15" hidden="false" customHeight="false" outlineLevel="0" collapsed="false">
      <c r="A16" s="37"/>
    </row>
    <row r="17" customFormat="false" ht="15" hidden="false" customHeight="false" outlineLevel="0" collapsed="false">
      <c r="A17" s="38" t="s">
        <v>78</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2026-10-29T01:42:31Z</dcterms:created>
  <dc:creator>openpyxl</dc:creator>
  <dc:description/>
  <dc:language>en-US</dc:language>
  <cp:lastModifiedBy/>
  <dcterms:modified xsi:type="dcterms:W3CDTF">2026-10-29T01:42:31Z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